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codeName="ThisWorkbook" defaultThemeVersion="124226"/>
  <xr:revisionPtr revIDLastSave="0" documentId="13_ncr:1_{ED8A9699-A6DD-4D6E-A6EA-2375B379A2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mp_Inv1_Calc" sheetId="8" r:id="rId1"/>
    <sheet name="Offset Errors" sheetId="9" r:id="rId2"/>
    <sheet name="Gain Errors" sheetId="10" r:id="rId3"/>
  </sheets>
  <calcPr calcId="191029"/>
</workbook>
</file>

<file path=xl/calcChain.xml><?xml version="1.0" encoding="utf-8"?>
<calcChain xmlns="http://schemas.openxmlformats.org/spreadsheetml/2006/main">
  <c r="C38" i="8" l="1"/>
  <c r="C42" i="8"/>
  <c r="C37" i="8"/>
  <c r="C41" i="8"/>
  <c r="C31" i="8"/>
  <c r="C20" i="8"/>
  <c r="C15" i="8"/>
  <c r="H24" i="9"/>
  <c r="I24" i="9" s="1"/>
  <c r="C29" i="8" l="1"/>
  <c r="H34" i="9" s="1"/>
  <c r="I34" i="9" s="1"/>
  <c r="C27" i="8"/>
  <c r="C18" i="8"/>
  <c r="H33" i="9"/>
  <c r="I33" i="9" s="1"/>
  <c r="C43" i="8"/>
  <c r="C39" i="8"/>
  <c r="J34" i="9"/>
  <c r="J33" i="9"/>
  <c r="J32" i="9"/>
  <c r="J25" i="9"/>
  <c r="J24" i="9"/>
  <c r="K24" i="9" s="1"/>
  <c r="J23" i="9"/>
  <c r="H25" i="9"/>
  <c r="I25" i="9" s="1"/>
  <c r="K34" i="9" l="1"/>
  <c r="K25" i="9"/>
  <c r="M25" i="9" s="1"/>
  <c r="K33" i="9"/>
  <c r="M33" i="9" s="1"/>
  <c r="N24" i="9"/>
  <c r="M24" i="9"/>
  <c r="N34" i="9"/>
  <c r="M34" i="9"/>
  <c r="H32" i="9"/>
  <c r="I32" i="9" s="1"/>
  <c r="K32" i="9" s="1"/>
  <c r="M32" i="9" s="1"/>
  <c r="H23" i="9"/>
  <c r="I23" i="9" s="1"/>
  <c r="K23" i="9" s="1"/>
  <c r="H32" i="10"/>
  <c r="I32" i="10" s="1"/>
  <c r="H23" i="10"/>
  <c r="I23" i="10" s="1"/>
  <c r="H33" i="10"/>
  <c r="I33" i="10" s="1"/>
  <c r="H24" i="10"/>
  <c r="I24" i="10" s="1"/>
  <c r="N25" i="9" l="1"/>
  <c r="N33" i="9"/>
  <c r="M37" i="9"/>
  <c r="D13" i="9" s="1"/>
  <c r="N32" i="9"/>
  <c r="N24" i="10"/>
  <c r="M24" i="10"/>
  <c r="N33" i="10"/>
  <c r="M33" i="10"/>
  <c r="N23" i="10"/>
  <c r="M23" i="10"/>
  <c r="N32" i="10"/>
  <c r="M32" i="10"/>
  <c r="M36" i="10" s="1"/>
  <c r="N23" i="9"/>
  <c r="N28" i="9" s="1"/>
  <c r="M23" i="9"/>
  <c r="N36" i="10" l="1"/>
  <c r="M27" i="10"/>
  <c r="C13" i="10" s="1"/>
  <c r="N27" i="10"/>
  <c r="N37" i="9"/>
  <c r="M28" i="9"/>
  <c r="C13" i="9" s="1"/>
  <c r="E13" i="9" s="1"/>
  <c r="F13" i="9" s="1"/>
  <c r="G13" i="9" s="1"/>
  <c r="D13" i="10"/>
  <c r="E13" i="10" l="1"/>
  <c r="F13" i="10" s="1"/>
  <c r="G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691D1871-1F82-4276-9845-1FA088C4CDC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4C5A5BC6-32A7-41A4-BB4C-A13777A2E6E9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077951D3-DA81-4757-A96F-FBDA206CC982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5E13861B-30A8-40BF-975C-DD794D7C25A7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82497180-50F3-40CA-ADA9-A7F9C414BFF3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26" authorId="0" shapeId="0" xr:uid="{FDA141CA-7C9A-47A9-B708-756220B7762C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7" authorId="0" shapeId="0" xr:uid="{D894FBDE-B010-45E1-8C2B-B86168D61D57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7" authorId="0" shapeId="0" xr:uid="{0937F596-6C20-4E17-80BC-37AB6587A84A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1" authorId="0" shapeId="0" xr:uid="{855B6C22-6A02-4CE8-A98F-A6CF28B79D56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35" authorId="0" shapeId="0" xr:uid="{415A7836-A341-49AB-8FB0-44E233F13380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6" authorId="0" shapeId="0" xr:uid="{C118B55B-46E3-4FDB-8352-69F91AB85960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6" authorId="0" shapeId="0" xr:uid="{851F4CB6-CA40-437F-B33A-9A518F6EECC1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2" authorId="0" shapeId="0" xr:uid="{3C8DB43C-89BA-4185-A21F-F1BA5671BF1B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D12" authorId="0" shapeId="0" xr:uid="{1F1CA1D2-25A9-482F-8008-5ED8C2E53D71}">
      <text>
        <r>
          <rPr>
            <sz val="9"/>
            <color indexed="81"/>
            <rFont val="Tahoma"/>
            <family val="2"/>
          </rPr>
          <t>Get the total error from Worst Case Analysis (WCA).
Change to Root Sum Square (RSS) total error if desired.</t>
        </r>
      </text>
    </comment>
    <comment ref="E12" authorId="0" shapeId="0" xr:uid="{A629066E-F419-4AFA-A3E6-0C18A5ABC541}">
      <text>
        <r>
          <rPr>
            <sz val="9"/>
            <color indexed="81"/>
            <rFont val="Tahoma"/>
            <family val="2"/>
          </rPr>
          <t>Total Error = 
 Initial Error + Drift Error</t>
        </r>
      </text>
    </comment>
    <comment ref="F12" authorId="0" shapeId="0" xr:uid="{009131A0-1EDD-466B-AC0D-C1F4BE0CCA4D}">
      <text>
        <r>
          <rPr>
            <sz val="9"/>
            <color indexed="81"/>
            <rFont val="Tahoma"/>
            <family val="2"/>
          </rPr>
          <t>Design Margin = 
 (Total_Err - Spec_Err) / Spec_Err * 100%</t>
        </r>
      </text>
    </comment>
    <comment ref="H22" authorId="0" shapeId="0" xr:uid="{0889762C-3154-49E5-B145-6CD8A84476F0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25" authorId="0" shapeId="0" xr:uid="{5481FCF4-3034-4662-AE84-1619799D29D8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26" authorId="0" shapeId="0" xr:uid="{AFD59C58-3DC9-4C79-AF7C-5FF2556C95D5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26" authorId="0" shapeId="0" xr:uid="{550058DE-3C11-4465-A9FE-1936E15137D6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  <comment ref="H31" authorId="0" shapeId="0" xr:uid="{46DC78B2-93E5-40FF-A560-3749C40FFF72}">
      <text>
        <r>
          <rPr>
            <sz val="9"/>
            <color indexed="81"/>
            <rFont val="Tahoma"/>
            <family val="2"/>
          </rPr>
          <t>Get Sensitivity S calculated in CIRCUIT CALC sheet.</t>
        </r>
      </text>
    </comment>
    <comment ref="B34" authorId="0" shapeId="0" xr:uid="{85240522-A816-463F-94D8-A484CC2D98B4}">
      <text>
        <r>
          <rPr>
            <sz val="9"/>
            <color indexed="81"/>
            <rFont val="Tahoma"/>
            <family val="2"/>
          </rPr>
          <t>Insert rows for new parts above the "end" row. Pie Charts and Totals will automatically include new part.</t>
        </r>
      </text>
    </comment>
    <comment ref="M35" authorId="0" shapeId="0" xr:uid="{30AE8D1A-0E26-4FFA-B8B8-87A5BD3C59B6}">
      <text>
        <r>
          <rPr>
            <sz val="9"/>
            <color indexed="81"/>
            <rFont val="Tahoma"/>
            <family val="2"/>
          </rPr>
          <t>Sum total error as
Worst Case Analysis
WCA = |err1|+|err2|+...</t>
        </r>
      </text>
    </comment>
    <comment ref="N35" authorId="0" shapeId="0" xr:uid="{CDE5169F-1C80-4D2E-B781-F010B17C6E22}">
      <text>
        <r>
          <rPr>
            <sz val="9"/>
            <color indexed="81"/>
            <rFont val="Tahoma"/>
            <family val="2"/>
          </rPr>
          <t>Sum total error as 
Root Sum Square
RSS = sqrt( err1^2 + err2^2 + ...)</t>
        </r>
      </text>
    </comment>
  </commentList>
</comments>
</file>

<file path=xl/sharedStrings.xml><?xml version="1.0" encoding="utf-8"?>
<sst xmlns="http://schemas.openxmlformats.org/spreadsheetml/2006/main" count="263" uniqueCount="133">
  <si>
    <t>S</t>
  </si>
  <si>
    <t>R1</t>
  </si>
  <si>
    <t>R2</t>
  </si>
  <si>
    <t>K</t>
  </si>
  <si>
    <t>K'</t>
  </si>
  <si>
    <t>V</t>
  </si>
  <si>
    <t>Signal Gain</t>
  </si>
  <si>
    <t>OFFSET ERRORS</t>
  </si>
  <si>
    <t>GAIN ERRORS</t>
  </si>
  <si>
    <t>%</t>
  </si>
  <si>
    <t>ohms</t>
  </si>
  <si>
    <t>K is the circuit gain</t>
  </si>
  <si>
    <r>
      <t>S =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 /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 = ((K'-K)/K) / 0.01</t>
    </r>
  </si>
  <si>
    <t>A</t>
  </si>
  <si>
    <t>unit</t>
  </si>
  <si>
    <t>Initial Errors</t>
  </si>
  <si>
    <t>ppm/C</t>
  </si>
  <si>
    <t>V/C</t>
  </si>
  <si>
    <t>A/C</t>
  </si>
  <si>
    <t>Enter values</t>
  </si>
  <si>
    <t>Calc results</t>
  </si>
  <si>
    <t>e</t>
  </si>
  <si>
    <t>Offset Error</t>
  </si>
  <si>
    <t>Gain Error</t>
  </si>
  <si>
    <t>Initial Error</t>
  </si>
  <si>
    <t>Total Error</t>
  </si>
  <si>
    <t>end</t>
  </si>
  <si>
    <t>Temp Change</t>
  </si>
  <si>
    <t>Margin %</t>
  </si>
  <si>
    <t xml:space="preserve">   Error Budget Analysis</t>
  </si>
  <si>
    <t>P/F ?</t>
  </si>
  <si>
    <t>R1 Tol</t>
  </si>
  <si>
    <t>R2 Tol</t>
  </si>
  <si>
    <t>S = 0.5% means that a 1% change in the device causes a 0.5% change in the signal gain.</t>
  </si>
  <si>
    <r>
      <t>S =(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K/K)/(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R/R)   Sensitivity of K to a change in R</t>
    </r>
  </si>
  <si>
    <t>Temp Drift</t>
  </si>
  <si>
    <t>Gain Sensitivity</t>
  </si>
  <si>
    <t>Amp 1</t>
  </si>
  <si>
    <t>Block</t>
  </si>
  <si>
    <t>"</t>
  </si>
  <si>
    <t>Circuit Block</t>
  </si>
  <si>
    <t xml:space="preserve">((K'-K)/K) / 0.01 </t>
  </si>
  <si>
    <t>Output Node</t>
  </si>
  <si>
    <t>K = vo/vs    Signal Gain</t>
  </si>
  <si>
    <t>SPECIFICATIONS AND RESULTS</t>
  </si>
  <si>
    <t>OFFSET SENSITIVITY</t>
  </si>
  <si>
    <t>GAIN SENSITIVITY</t>
  </si>
  <si>
    <t>Offset Sensitivity</t>
  </si>
  <si>
    <t>Error Source</t>
  </si>
  <si>
    <t>Error Value</t>
  </si>
  <si>
    <t>abs(ΔK/K)</t>
  </si>
  <si>
    <t>(ΔK/K)^2</t>
  </si>
  <si>
    <t>Input Node</t>
  </si>
  <si>
    <t>S   (How does each error source contribute to a signal Gain error)</t>
  </si>
  <si>
    <t>Offset Error RTI</t>
  </si>
  <si>
    <t>Components</t>
  </si>
  <si>
    <t>Name</t>
  </si>
  <si>
    <t>vin_FS</t>
  </si>
  <si>
    <t>abs(ΔVoffset_rti)</t>
  </si>
  <si>
    <t>Δvoffset_rti^2</t>
  </si>
  <si>
    <t>Drift Errors</t>
  </si>
  <si>
    <t>in</t>
  </si>
  <si>
    <t>out</t>
  </si>
  <si>
    <t>U1 voff</t>
  </si>
  <si>
    <t>U1 ibn</t>
  </si>
  <si>
    <t>U1 ibp</t>
  </si>
  <si>
    <t>(R2*1.01)/R1+1</t>
  </si>
  <si>
    <t xml:space="preserve">                 Similarly, a 0.1% change in R causes a 0.05% change in the K.</t>
  </si>
  <si>
    <t xml:space="preserve">   Error Budget Results</t>
  </si>
  <si>
    <t>Full-Scale Signals</t>
  </si>
  <si>
    <t>Spec Error (V)</t>
  </si>
  <si>
    <t>Spec Error (%)</t>
  </si>
  <si>
    <t>WCA Total</t>
  </si>
  <si>
    <t>RSS Total</t>
  </si>
  <si>
    <t>S = vo / ibn = -R2</t>
  </si>
  <si>
    <t xml:space="preserve">K' is the gain with a 1% tol to calc S. </t>
  </si>
  <si>
    <t>Circuit, Gains, Levels</t>
  </si>
  <si>
    <t>Part</t>
  </si>
  <si>
    <t>RES001</t>
  </si>
  <si>
    <t>R_Tol</t>
  </si>
  <si>
    <t>R_TC</t>
  </si>
  <si>
    <t>R1 TC</t>
  </si>
  <si>
    <t>R2 TC</t>
  </si>
  <si>
    <t>voff</t>
  </si>
  <si>
    <t>U1 voff TC</t>
  </si>
  <si>
    <t>U1 ibp TC</t>
  </si>
  <si>
    <t>U1 ibn TC</t>
  </si>
  <si>
    <t>voff_TC</t>
  </si>
  <si>
    <t>S, Analysis Node</t>
  </si>
  <si>
    <t>S, vo</t>
  </si>
  <si>
    <t>vo</t>
  </si>
  <si>
    <t>vo_FS</t>
  </si>
  <si>
    <t>vin</t>
  </si>
  <si>
    <t>vo_FS = vin_FS * K</t>
  </si>
  <si>
    <t>Analysis Node</t>
  </si>
  <si>
    <t>Va</t>
  </si>
  <si>
    <t>Gain from input to analysis node</t>
  </si>
  <si>
    <t>Ka = Va/vin</t>
  </si>
  <si>
    <t>ΔVoffset_rti = 
ΔVo / Ka</t>
  </si>
  <si>
    <t>Offset Error
at Analysis Node</t>
  </si>
  <si>
    <t>ΔVoffset = e*ΔT*S
(V)</t>
  </si>
  <si>
    <t>ΔVoffset = e*S
(V)</t>
  </si>
  <si>
    <t xml:space="preserve">ΔK/K = e*ΔT*S
(%) </t>
  </si>
  <si>
    <r>
      <rPr>
        <i/>
        <sz val="11"/>
        <color theme="1"/>
        <rFont val="Calibri"/>
        <family val="2"/>
      </rPr>
      <t>ΔK/K</t>
    </r>
    <r>
      <rPr>
        <i/>
        <sz val="11"/>
        <color theme="1"/>
        <rFont val="Calibri"/>
        <family val="2"/>
        <scheme val="minor"/>
      </rPr>
      <t xml:space="preserve"> = e*S
(%)</t>
    </r>
  </si>
  <si>
    <t>Gain Error
at Analysis Node</t>
  </si>
  <si>
    <t>Normalized gain errors scale directly to input</t>
  </si>
  <si>
    <t>PASS if &gt; 0</t>
  </si>
  <si>
    <t>Accuracy Spec</t>
  </si>
  <si>
    <t>Referred to Input</t>
  </si>
  <si>
    <t>S   (How does each error source contribute to an Offset error at Analysis Node)</t>
  </si>
  <si>
    <t>Calculate Gains, Levels, Sensitivities</t>
  </si>
  <si>
    <t>Offset Errors</t>
  </si>
  <si>
    <t>Gain Errors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</si>
  <si>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</si>
  <si>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ibp</t>
  </si>
  <si>
    <t>ibn</t>
  </si>
  <si>
    <t>ibp_TC</t>
  </si>
  <si>
    <t>ibn_TC</t>
  </si>
  <si>
    <t>OP001</t>
  </si>
  <si>
    <t>Root Sum Square</t>
  </si>
  <si>
    <t>Worst Case Analysis</t>
  </si>
  <si>
    <t>Max input signal</t>
  </si>
  <si>
    <t>Rp</t>
  </si>
  <si>
    <t>vo/vin = -R2/R1</t>
  </si>
  <si>
    <t>Non-Inv Gain</t>
  </si>
  <si>
    <t>Kp</t>
  </si>
  <si>
    <t>vo/vp = R2/R1+1</t>
  </si>
  <si>
    <t>S = vo / voff = Knon</t>
  </si>
  <si>
    <t>S = vo / ibp = Rs*Knon</t>
  </si>
  <si>
    <t>-R2/R1</t>
  </si>
  <si>
    <t>-R2/(R1*1.01)</t>
  </si>
  <si>
    <t>Circuit Calc - Amp Inverting 1</t>
  </si>
  <si>
    <t xml:space="preserve">  (for errors at vp)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</si>
</sst>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"/>
    <numFmt numFmtId="166" formatCode="0.0000"/>
    <numFmt numFmtId="167" formatCode="0.00000"/>
    <numFmt numFmtId="168" formatCode="0.0E+00"/>
    <numFmt numFmtId="169" formatCode="0.0000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166" fontId="0" fillId="0" borderId="0" xfId="0" applyNumberFormat="1" applyAlignment="1">
      <alignment horizontal="center"/>
    </xf>
    <xf numFmtId="0" fontId="3" fillId="4" borderId="0" xfId="0" applyFont="1" applyFill="1"/>
    <xf numFmtId="1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quotePrefix="1"/>
    <xf numFmtId="166" fontId="3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9" fontId="3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66" fontId="2" fillId="0" borderId="0" xfId="0" applyNumberFormat="1" applyFont="1" applyAlignment="1">
      <alignment horizontal="center"/>
    </xf>
    <xf numFmtId="0" fontId="0" fillId="2" borderId="0" xfId="0" quotePrefix="1" applyFill="1" applyAlignment="1">
      <alignment horizontal="center"/>
    </xf>
    <xf numFmtId="0" fontId="6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5" borderId="0" xfId="0" applyFont="1" applyFill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0" fillId="6" borderId="0" xfId="0" applyFill="1" applyAlignment="1">
      <alignment horizontal="center"/>
    </xf>
    <xf numFmtId="0" fontId="2" fillId="6" borderId="0" xfId="0" applyFont="1" applyFill="1" applyAlignment="1">
      <alignment horizontal="center" wrapText="1"/>
    </xf>
    <xf numFmtId="0" fontId="12" fillId="0" borderId="0" xfId="0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6">
    <dxf>
      <font>
        <color theme="6" tint="-0.24994659260841701"/>
      </font>
    </dxf>
    <dxf>
      <font>
        <color rgb="FFC00000"/>
      </font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9088412009232437"/>
          <c:y val="0.21095595117910315"/>
          <c:w val="0.48085830379079342"/>
          <c:h val="0.68432701768713988"/>
        </c:manualLayout>
      </c:layout>
      <c:pieChart>
        <c:varyColors val="1"/>
        <c:ser>
          <c:idx val="0"/>
          <c:order val="0"/>
          <c:tx>
            <c:strRef>
              <c:f>'Offset Errors'!$M$22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F7-49C6-B09F-9FC984038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F7-49C6-B09F-9FC984038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F7-49C6-B09F-9FC984038B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7D-46DB-80FE-419C9593439F}"/>
              </c:ext>
            </c:extLst>
          </c:dPt>
          <c:cat>
            <c:strRef>
              <c:f>'Offset Errors'!$B$23:$B$26</c:f>
              <c:strCache>
                <c:ptCount val="4"/>
                <c:pt idx="0">
                  <c:v>U1 voff</c:v>
                </c:pt>
                <c:pt idx="1">
                  <c:v>U1 ibn</c:v>
                </c:pt>
                <c:pt idx="2">
                  <c:v>U1 ibp</c:v>
                </c:pt>
                <c:pt idx="3">
                  <c:v>end</c:v>
                </c:pt>
              </c:strCache>
            </c:strRef>
          </c:cat>
          <c:val>
            <c:numRef>
              <c:f>'Offset Errors'!$M$23:$M$26</c:f>
              <c:numCache>
                <c:formatCode>0.000000</c:formatCode>
                <c:ptCount val="4"/>
                <c:pt idx="0">
                  <c:v>1.2000000000000001E-3</c:v>
                </c:pt>
                <c:pt idx="1">
                  <c:v>1E-4</c:v>
                </c:pt>
                <c:pt idx="2">
                  <c:v>6.0000000000000002E-6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F7-49C6-B09F-9FC984038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0081483476611528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Offset Error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4868529055576447"/>
          <c:y val="3.338019020167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8808805122863119"/>
          <c:y val="0.20394303450431284"/>
          <c:w val="0.44693720536718617"/>
          <c:h val="0.69818818651924652"/>
        </c:manualLayout>
      </c:layout>
      <c:pieChart>
        <c:varyColors val="1"/>
        <c:ser>
          <c:idx val="0"/>
          <c:order val="0"/>
          <c:tx>
            <c:strRef>
              <c:f>'Offset Errors'!$M$31</c:f>
              <c:strCache>
                <c:ptCount val="1"/>
                <c:pt idx="0">
                  <c:v>abs(ΔVoffset_rti)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68-4D98-84D9-D72901C43C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68-4D98-84D9-D72901C43C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68-4D98-84D9-D72901C43C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A7B-42B3-856A-16BA5D4B4983}"/>
              </c:ext>
            </c:extLst>
          </c:dPt>
          <c:cat>
            <c:strRef>
              <c:f>'Offset Errors'!$B$32:$B$35</c:f>
              <c:strCache>
                <c:ptCount val="4"/>
                <c:pt idx="0">
                  <c:v>U1 voff TC</c:v>
                </c:pt>
                <c:pt idx="1">
                  <c:v>U1 ibn TC</c:v>
                </c:pt>
                <c:pt idx="2">
                  <c:v>U1 ibp TC</c:v>
                </c:pt>
                <c:pt idx="3">
                  <c:v>end</c:v>
                </c:pt>
              </c:strCache>
            </c:strRef>
          </c:cat>
          <c:val>
            <c:numRef>
              <c:f>'Offset Errors'!$M$32:$M$35</c:f>
              <c:numCache>
                <c:formatCode>0.000000</c:formatCode>
                <c:ptCount val="4"/>
                <c:pt idx="0">
                  <c:v>3.6000000000000002E-4</c:v>
                </c:pt>
                <c:pt idx="1">
                  <c:v>3.0000000000000003E-4</c:v>
                </c:pt>
                <c:pt idx="2">
                  <c:v>1.8E-5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68-4D98-84D9-D72901C4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35910269144116869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Initial</a:t>
            </a:r>
            <a:endParaRPr lang="en-US"/>
          </a:p>
        </c:rich>
      </c:tx>
      <c:layout>
        <c:manualLayout>
          <c:xMode val="edge"/>
          <c:yMode val="edge"/>
          <c:x val="0.19347535515610312"/>
          <c:y val="2.5009091231326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8607388778207874"/>
          <c:y val="0.23323687831379492"/>
          <c:w val="0.48060881290195512"/>
          <c:h val="0.70286961068656628"/>
        </c:manualLayout>
      </c:layout>
      <c:pieChart>
        <c:varyColors val="1"/>
        <c:ser>
          <c:idx val="0"/>
          <c:order val="0"/>
          <c:tx>
            <c:strRef>
              <c:f>'Gain Errors'!$M$22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33-49A9-9635-47143219C2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633-49A9-9635-47143219C2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633-49A9-9635-47143219C26B}"/>
              </c:ext>
            </c:extLst>
          </c:dPt>
          <c:cat>
            <c:strRef>
              <c:f>'Gain Errors'!$B$23:$B$25</c:f>
              <c:strCache>
                <c:ptCount val="3"/>
                <c:pt idx="0">
                  <c:v>R2 Tol</c:v>
                </c:pt>
                <c:pt idx="1">
                  <c:v>R1 Tol</c:v>
                </c:pt>
                <c:pt idx="2">
                  <c:v>end</c:v>
                </c:pt>
              </c:strCache>
            </c:strRef>
          </c:cat>
          <c:val>
            <c:numRef>
              <c:f>'Gain Errors'!$M$23:$M$25</c:f>
              <c:numCache>
                <c:formatCode>0.000</c:formatCode>
                <c:ptCount val="3"/>
                <c:pt idx="0">
                  <c:v>9.9999999999999645E-2</c:v>
                </c:pt>
                <c:pt idx="1">
                  <c:v>9.9009900990099098E-2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33-49A9-9635-47143219C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5087968382531297"/>
          <c:w val="0.20081483476611528"/>
          <c:h val="0.748634927916811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Gain Errors</a:t>
            </a:r>
            <a:r>
              <a:rPr lang="en-US" baseline="0"/>
              <a:t> - Drift</a:t>
            </a:r>
            <a:endParaRPr lang="en-US"/>
          </a:p>
        </c:rich>
      </c:tx>
      <c:layout>
        <c:manualLayout>
          <c:xMode val="edge"/>
          <c:yMode val="edge"/>
          <c:x val="0.26865279118982555"/>
          <c:y val="3.33798233882651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1564724161340566"/>
          <c:y val="0.20520771536621599"/>
          <c:w val="0.45486824636565021"/>
          <c:h val="0.71835192665134784"/>
        </c:manualLayout>
      </c:layout>
      <c:pieChart>
        <c:varyColors val="1"/>
        <c:ser>
          <c:idx val="0"/>
          <c:order val="0"/>
          <c:tx>
            <c:strRef>
              <c:f>'Gain Errors'!$M$31</c:f>
              <c:strCache>
                <c:ptCount val="1"/>
                <c:pt idx="0">
                  <c:v>abs(ΔK/K)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D7-41A8-B91D-C7DC8AE43F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D7-41A8-B91D-C7DC8AE43F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D7-41A8-B91D-C7DC8AE43FA4}"/>
              </c:ext>
            </c:extLst>
          </c:dPt>
          <c:cat>
            <c:strRef>
              <c:f>'Gain Errors'!$B$32:$B$34</c:f>
              <c:strCache>
                <c:ptCount val="3"/>
                <c:pt idx="0">
                  <c:v>R2 TC</c:v>
                </c:pt>
                <c:pt idx="1">
                  <c:v>R1 TC</c:v>
                </c:pt>
                <c:pt idx="2">
                  <c:v>end</c:v>
                </c:pt>
              </c:strCache>
            </c:strRef>
          </c:cat>
          <c:val>
            <c:numRef>
              <c:f>'Gain Errors'!$M$32:$M$34</c:f>
              <c:numCache>
                <c:formatCode>0.000</c:formatCode>
                <c:ptCount val="3"/>
                <c:pt idx="0">
                  <c:v>0.29999999999999893</c:v>
                </c:pt>
                <c:pt idx="1">
                  <c:v>0.29702970297029729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D7-41A8-B91D-C7DC8AE43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617737092706879E-2"/>
          <c:y val="0.18436382763311926"/>
          <c:w val="0.22009701856559802"/>
          <c:h val="0.71515078410900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104474</xdr:colOff>
      <xdr:row>6</xdr:row>
      <xdr:rowOff>39531</xdr:rowOff>
    </xdr:from>
    <xdr:to>
      <xdr:col>9</xdr:col>
      <xdr:colOff>814294</xdr:colOff>
      <xdr:row>16</xdr:row>
      <xdr:rowOff>13449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BB7709-55C8-4417-8971-2D20DF913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870318</xdr:colOff>
      <xdr:row>6</xdr:row>
      <xdr:rowOff>47051</xdr:rowOff>
    </xdr:from>
    <xdr:to>
      <xdr:col>12</xdr:col>
      <xdr:colOff>896471</xdr:colOff>
      <xdr:row>16</xdr:row>
      <xdr:rowOff>7470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480B92-47CB-4686-BE28-F4D4CF926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39249</xdr:colOff>
      <xdr:row>6</xdr:row>
      <xdr:rowOff>30535</xdr:rowOff>
    </xdr:from>
    <xdr:to>
      <xdr:col>10</xdr:col>
      <xdr:colOff>381000</xdr:colOff>
      <xdr:row>15</xdr:row>
      <xdr:rowOff>173461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6F9D34-509B-4D7A-94A4-4C4C153D58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406334</xdr:colOff>
      <xdr:row>6</xdr:row>
      <xdr:rowOff>36089</xdr:rowOff>
    </xdr:from>
    <xdr:to>
      <xdr:col>14</xdr:col>
      <xdr:colOff>141941</xdr:colOff>
      <xdr:row>16</xdr:row>
      <xdr:rowOff>22640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942ABE-8A35-48A0-9ADB-EB62A39C1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2AD95-2A92-4118-A885-86E6C74B3B0D}">
  <sheetPr>
    <tabColor rgb="FFFFFF99"/>
  </sheetPr>
  <dimension ref="A1:J49"/>
  <sheetViews>
    <sheetView tabSelected="1" topLeftCell="A33" zoomScaleNormal="100" workbookViewId="0">
      <selection activeCell="D45" sqref="D45"/>
    </sheetView>
  </sheetViews>
  <sheetFormatPr defaultRowHeight="14.5" x14ac:dyDescent="0.35"/>
  <cols>
    <col min="1" max="1" width="15.089843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21" x14ac:dyDescent="0.5">
      <c r="A1" s="43" t="s">
        <v>131</v>
      </c>
      <c r="F1" s="1"/>
    </row>
    <row r="2" spans="1:8" ht="18.5" x14ac:dyDescent="0.45">
      <c r="A2" s="47" t="s">
        <v>110</v>
      </c>
      <c r="E2" s="3"/>
      <c r="F2" s="2" t="s">
        <v>19</v>
      </c>
    </row>
    <row r="3" spans="1:8" x14ac:dyDescent="0.35">
      <c r="E3" s="4"/>
      <c r="F3" s="2" t="s">
        <v>20</v>
      </c>
      <c r="H3" s="1"/>
    </row>
    <row r="4" spans="1:8" x14ac:dyDescent="0.35">
      <c r="F4" s="1"/>
      <c r="G4" s="1"/>
      <c r="H4" s="1"/>
    </row>
    <row r="5" spans="1:8" x14ac:dyDescent="0.35">
      <c r="A5" s="5" t="s">
        <v>76</v>
      </c>
      <c r="B5" s="5"/>
      <c r="C5" s="5"/>
      <c r="D5" s="5"/>
      <c r="E5" s="5"/>
    </row>
    <row r="7" spans="1:8" x14ac:dyDescent="0.35">
      <c r="A7" t="s">
        <v>55</v>
      </c>
      <c r="B7" s="3" t="s">
        <v>1</v>
      </c>
      <c r="C7" s="1">
        <v>10000</v>
      </c>
      <c r="D7" t="s">
        <v>10</v>
      </c>
    </row>
    <row r="8" spans="1:8" x14ac:dyDescent="0.35">
      <c r="B8" s="3" t="s">
        <v>2</v>
      </c>
      <c r="C8" s="1">
        <v>50000</v>
      </c>
      <c r="D8" t="s">
        <v>10</v>
      </c>
    </row>
    <row r="10" spans="1:8" x14ac:dyDescent="0.35">
      <c r="B10" s="3" t="s">
        <v>122</v>
      </c>
      <c r="C10" s="1">
        <v>500</v>
      </c>
      <c r="D10" t="s">
        <v>10</v>
      </c>
    </row>
    <row r="12" spans="1:8" x14ac:dyDescent="0.35">
      <c r="A12" t="s">
        <v>52</v>
      </c>
      <c r="B12" s="3" t="s">
        <v>61</v>
      </c>
      <c r="C12" s="1" t="s">
        <v>92</v>
      </c>
    </row>
    <row r="13" spans="1:8" x14ac:dyDescent="0.35">
      <c r="A13" t="s">
        <v>42</v>
      </c>
      <c r="B13" s="3" t="s">
        <v>62</v>
      </c>
      <c r="C13" s="1" t="s">
        <v>90</v>
      </c>
    </row>
    <row r="15" spans="1:8" x14ac:dyDescent="0.35">
      <c r="A15" t="s">
        <v>6</v>
      </c>
      <c r="B15" s="4" t="s">
        <v>3</v>
      </c>
      <c r="C15" s="6">
        <f>-$C$8/$C$7</f>
        <v>-5</v>
      </c>
      <c r="D15" t="s">
        <v>123</v>
      </c>
    </row>
    <row r="17" spans="1:10" x14ac:dyDescent="0.35">
      <c r="A17" t="s">
        <v>69</v>
      </c>
      <c r="B17" s="3" t="s">
        <v>57</v>
      </c>
      <c r="C17" s="10">
        <v>-1</v>
      </c>
      <c r="D17" s="19" t="s">
        <v>121</v>
      </c>
    </row>
    <row r="18" spans="1:10" x14ac:dyDescent="0.35">
      <c r="B18" s="4" t="s">
        <v>91</v>
      </c>
      <c r="C18" s="10">
        <f>C17*C15</f>
        <v>5</v>
      </c>
      <c r="D18" t="s">
        <v>93</v>
      </c>
    </row>
    <row r="20" spans="1:10" x14ac:dyDescent="0.35">
      <c r="A20" t="s">
        <v>124</v>
      </c>
      <c r="B20" s="4" t="s">
        <v>125</v>
      </c>
      <c r="C20" s="25">
        <f>$C$8/$C$7+1</f>
        <v>6</v>
      </c>
      <c r="D20" t="s">
        <v>126</v>
      </c>
    </row>
    <row r="21" spans="1:10" x14ac:dyDescent="0.35">
      <c r="A21" t="s">
        <v>132</v>
      </c>
      <c r="C21" s="25"/>
    </row>
    <row r="23" spans="1:10" x14ac:dyDescent="0.35">
      <c r="A23" s="15" t="s">
        <v>45</v>
      </c>
      <c r="B23" s="15"/>
      <c r="C23" s="15"/>
      <c r="D23" s="15"/>
      <c r="E23" s="15"/>
      <c r="F23" s="15"/>
      <c r="G23" s="15"/>
      <c r="H23" s="15"/>
      <c r="I23" s="15"/>
      <c r="J23" s="15"/>
    </row>
    <row r="24" spans="1:10" x14ac:dyDescent="0.35">
      <c r="A24" t="s">
        <v>109</v>
      </c>
      <c r="B24" s="9"/>
      <c r="E24" s="9"/>
    </row>
    <row r="25" spans="1:10" x14ac:dyDescent="0.35">
      <c r="A25" s="7"/>
      <c r="B25" s="9"/>
      <c r="E25" s="9"/>
    </row>
    <row r="26" spans="1:10" x14ac:dyDescent="0.35">
      <c r="A26" s="8"/>
      <c r="B26" t="s">
        <v>88</v>
      </c>
    </row>
    <row r="27" spans="1:10" x14ac:dyDescent="0.35">
      <c r="A27" s="11" t="s">
        <v>63</v>
      </c>
      <c r="B27" s="4" t="s">
        <v>89</v>
      </c>
      <c r="C27" s="10">
        <f>$C$20</f>
        <v>6</v>
      </c>
      <c r="D27" s="2" t="s">
        <v>127</v>
      </c>
    </row>
    <row r="28" spans="1:10" x14ac:dyDescent="0.35">
      <c r="A28" s="11"/>
      <c r="C28" s="10"/>
    </row>
    <row r="29" spans="1:10" x14ac:dyDescent="0.35">
      <c r="A29" s="11" t="s">
        <v>65</v>
      </c>
      <c r="B29" s="4" t="s">
        <v>89</v>
      </c>
      <c r="C29" s="16">
        <f>C10*C20</f>
        <v>3000</v>
      </c>
      <c r="D29" s="2" t="s">
        <v>128</v>
      </c>
    </row>
    <row r="30" spans="1:10" x14ac:dyDescent="0.35">
      <c r="A30" s="11"/>
      <c r="C30" s="10"/>
      <c r="D30" s="2"/>
    </row>
    <row r="31" spans="1:10" x14ac:dyDescent="0.35">
      <c r="A31" s="11" t="s">
        <v>64</v>
      </c>
      <c r="B31" s="4" t="s">
        <v>89</v>
      </c>
      <c r="C31" s="16">
        <f>-$C$8</f>
        <v>-50000</v>
      </c>
      <c r="D31" s="2" t="s">
        <v>74</v>
      </c>
    </row>
    <row r="32" spans="1:10" x14ac:dyDescent="0.35">
      <c r="A32" s="11"/>
      <c r="C32" s="10"/>
      <c r="D32" s="2"/>
    </row>
    <row r="33" spans="1:10" x14ac:dyDescent="0.35">
      <c r="A33" s="8"/>
      <c r="D33" s="2"/>
    </row>
    <row r="34" spans="1:10" x14ac:dyDescent="0.35">
      <c r="A34" s="15" t="s">
        <v>46</v>
      </c>
      <c r="B34" s="15"/>
      <c r="C34" s="15"/>
      <c r="D34" s="15"/>
      <c r="E34" s="15"/>
      <c r="F34" s="15"/>
      <c r="G34" s="15"/>
      <c r="H34" s="15"/>
      <c r="I34" s="15"/>
      <c r="J34" s="15"/>
    </row>
    <row r="35" spans="1:10" x14ac:dyDescent="0.35">
      <c r="A35" t="s">
        <v>53</v>
      </c>
      <c r="B35" s="9"/>
      <c r="E35" s="9"/>
    </row>
    <row r="36" spans="1:10" x14ac:dyDescent="0.35">
      <c r="A36" s="12"/>
      <c r="B36" s="1"/>
      <c r="D36" s="1"/>
      <c r="E36" s="11"/>
    </row>
    <row r="37" spans="1:10" x14ac:dyDescent="0.35">
      <c r="A37" s="11" t="s">
        <v>2</v>
      </c>
      <c r="B37" s="4" t="s">
        <v>3</v>
      </c>
      <c r="C37" s="25">
        <f>-$C$8/$C$7</f>
        <v>-5</v>
      </c>
      <c r="D37" s="19" t="s">
        <v>129</v>
      </c>
    </row>
    <row r="38" spans="1:10" x14ac:dyDescent="0.35">
      <c r="A38" s="8"/>
      <c r="B38" s="4" t="s">
        <v>4</v>
      </c>
      <c r="C38" s="25">
        <f>-$C$8*1.01/$C$7</f>
        <v>-5.05</v>
      </c>
      <c r="D38" t="s">
        <v>66</v>
      </c>
    </row>
    <row r="39" spans="1:10" x14ac:dyDescent="0.35">
      <c r="A39" s="8"/>
      <c r="B39" s="4" t="s">
        <v>0</v>
      </c>
      <c r="C39" s="25">
        <f>((C38-C37)/C37)/0.01</f>
        <v>0.99999999999999634</v>
      </c>
      <c r="D39" s="2" t="s">
        <v>41</v>
      </c>
    </row>
    <row r="41" spans="1:10" x14ac:dyDescent="0.35">
      <c r="A41" s="11" t="s">
        <v>1</v>
      </c>
      <c r="B41" s="4" t="s">
        <v>3</v>
      </c>
      <c r="C41" s="25">
        <f>-$C$8/$C$7</f>
        <v>-5</v>
      </c>
      <c r="D41" s="19" t="s">
        <v>129</v>
      </c>
      <c r="F41" s="13" t="s">
        <v>11</v>
      </c>
    </row>
    <row r="42" spans="1:10" x14ac:dyDescent="0.35">
      <c r="A42" s="8"/>
      <c r="B42" s="4" t="s">
        <v>4</v>
      </c>
      <c r="C42" s="25">
        <f>-$C$8/($C$7*1.01)</f>
        <v>-4.9504950495049505</v>
      </c>
      <c r="D42" s="19" t="s">
        <v>130</v>
      </c>
      <c r="F42" s="13" t="s">
        <v>75</v>
      </c>
    </row>
    <row r="43" spans="1:10" x14ac:dyDescent="0.35">
      <c r="A43" s="8"/>
      <c r="B43" s="4" t="s">
        <v>0</v>
      </c>
      <c r="C43" s="25">
        <f>((C42-C41)/C41)/0.01</f>
        <v>-0.99009900990099098</v>
      </c>
      <c r="D43" s="2" t="s">
        <v>41</v>
      </c>
      <c r="F43" t="s">
        <v>12</v>
      </c>
    </row>
    <row r="46" spans="1:10" x14ac:dyDescent="0.35">
      <c r="A46" t="s">
        <v>43</v>
      </c>
      <c r="B46" s="9"/>
      <c r="D46" s="2"/>
    </row>
    <row r="47" spans="1:10" x14ac:dyDescent="0.35">
      <c r="A47" t="s">
        <v>34</v>
      </c>
      <c r="B47" s="9"/>
      <c r="D47" s="2"/>
    </row>
    <row r="48" spans="1:10" x14ac:dyDescent="0.35">
      <c r="A48" t="s">
        <v>33</v>
      </c>
      <c r="B48" s="9"/>
      <c r="D48" s="2"/>
    </row>
    <row r="49" spans="1:4" x14ac:dyDescent="0.35">
      <c r="A49" t="s">
        <v>67</v>
      </c>
      <c r="B49" s="9"/>
      <c r="D49" s="2"/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51696-0001-4150-88AE-864E39E17241}">
  <sheetPr>
    <tabColor theme="4" tint="0.79998168889431442"/>
  </sheetPr>
  <dimension ref="A1:N38"/>
  <sheetViews>
    <sheetView topLeftCell="A10" zoomScale="70" zoomScaleNormal="70" workbookViewId="0">
      <selection activeCell="K27" sqref="K27"/>
    </sheetView>
  </sheetViews>
  <sheetFormatPr defaultRowHeight="14.5" x14ac:dyDescent="0.35"/>
  <cols>
    <col min="1" max="1" width="16.1796875" customWidth="1"/>
    <col min="2" max="2" width="17.54296875" customWidth="1"/>
    <col min="3" max="3" width="12.453125" customWidth="1"/>
    <col min="4" max="4" width="11.54296875" customWidth="1"/>
    <col min="5" max="5" width="11.1796875" customWidth="1"/>
    <col min="6" max="6" width="12.453125" customWidth="1"/>
    <col min="7" max="7" width="15.81640625" customWidth="1"/>
    <col min="8" max="8" width="16.81640625" customWidth="1"/>
    <col min="9" max="9" width="17.54296875" customWidth="1"/>
    <col min="10" max="10" width="16" customWidth="1"/>
    <col min="11" max="11" width="13" customWidth="1"/>
    <col min="12" max="12" width="15.81640625" customWidth="1"/>
    <col min="13" max="13" width="16.54296875" customWidth="1"/>
    <col min="14" max="14" width="14.54296875" customWidth="1"/>
  </cols>
  <sheetData>
    <row r="1" spans="1:13" ht="21" x14ac:dyDescent="0.5">
      <c r="A1" s="43" t="s">
        <v>111</v>
      </c>
      <c r="F1" s="1"/>
      <c r="G1" s="1"/>
      <c r="H1" s="1"/>
    </row>
    <row r="2" spans="1:13" ht="18.5" x14ac:dyDescent="0.45">
      <c r="A2" s="44"/>
      <c r="E2" s="3"/>
      <c r="F2" s="2" t="s">
        <v>19</v>
      </c>
      <c r="G2" s="2"/>
      <c r="H2" s="2"/>
    </row>
    <row r="3" spans="1:13" x14ac:dyDescent="0.35">
      <c r="E3" s="4"/>
      <c r="F3" s="2" t="s">
        <v>20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27</v>
      </c>
      <c r="G7" s="1"/>
      <c r="H7" s="1"/>
      <c r="I7" s="1"/>
      <c r="J7" s="1"/>
    </row>
    <row r="8" spans="1:13" x14ac:dyDescent="0.35">
      <c r="C8" s="38" t="s">
        <v>113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107</v>
      </c>
      <c r="C11" t="s">
        <v>68</v>
      </c>
      <c r="D11" s="10"/>
      <c r="E11" s="10"/>
      <c r="F11" s="1" t="s">
        <v>106</v>
      </c>
    </row>
    <row r="12" spans="1:13" x14ac:dyDescent="0.35">
      <c r="A12" s="32" t="s">
        <v>22</v>
      </c>
      <c r="B12" s="40" t="s">
        <v>70</v>
      </c>
      <c r="C12" s="4" t="s">
        <v>24</v>
      </c>
      <c r="D12" s="4" t="s">
        <v>35</v>
      </c>
      <c r="E12" s="41" t="s">
        <v>25</v>
      </c>
      <c r="F12" s="4" t="s">
        <v>28</v>
      </c>
      <c r="G12" s="41" t="s">
        <v>30</v>
      </c>
    </row>
    <row r="13" spans="1:13" x14ac:dyDescent="0.35">
      <c r="A13" s="2" t="s">
        <v>108</v>
      </c>
      <c r="B13" s="9">
        <v>5.0000000000000001E-3</v>
      </c>
      <c r="C13" s="14">
        <f>M28</f>
        <v>1.3060000000000001E-3</v>
      </c>
      <c r="D13" s="14">
        <f>M37</f>
        <v>6.78E-4</v>
      </c>
      <c r="E13" s="20">
        <f>C13+D13</f>
        <v>1.9840000000000001E-3</v>
      </c>
      <c r="F13" s="16">
        <f>(B13-E13)/B13*100</f>
        <v>60.319999999999993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</row>
    <row r="16" spans="1:13" x14ac:dyDescent="0.35">
      <c r="B16" s="1"/>
      <c r="C16" s="25"/>
      <c r="E16" s="1"/>
      <c r="F16" s="1"/>
    </row>
    <row r="17" spans="1:14" x14ac:dyDescent="0.35">
      <c r="B17" s="1"/>
      <c r="C17" s="1"/>
      <c r="E17" s="1"/>
      <c r="F17" s="1"/>
    </row>
    <row r="18" spans="1:14" x14ac:dyDescent="0.35">
      <c r="B18" s="1"/>
      <c r="H18" s="19"/>
    </row>
    <row r="19" spans="1:14" x14ac:dyDescent="0.35">
      <c r="A19" s="15" t="s">
        <v>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4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s="8" customFormat="1" ht="29" x14ac:dyDescent="0.35">
      <c r="A21" s="32" t="s">
        <v>15</v>
      </c>
      <c r="B21" s="32"/>
      <c r="C21" s="35"/>
      <c r="D21" s="36" t="s">
        <v>48</v>
      </c>
      <c r="E21" s="36" t="s">
        <v>49</v>
      </c>
      <c r="F21" s="36"/>
      <c r="G21" s="36" t="s">
        <v>94</v>
      </c>
      <c r="H21" s="36" t="s">
        <v>47</v>
      </c>
      <c r="I21" s="39" t="s">
        <v>99</v>
      </c>
      <c r="J21" s="36" t="s">
        <v>96</v>
      </c>
      <c r="K21" s="39" t="s">
        <v>54</v>
      </c>
      <c r="M21" s="31" t="s">
        <v>120</v>
      </c>
      <c r="N21" s="31" t="s">
        <v>119</v>
      </c>
    </row>
    <row r="22" spans="1:14" ht="29" x14ac:dyDescent="0.35">
      <c r="A22" s="22" t="s">
        <v>40</v>
      </c>
      <c r="B22" s="22" t="s">
        <v>56</v>
      </c>
      <c r="C22" s="22" t="s">
        <v>77</v>
      </c>
      <c r="D22" s="30" t="s">
        <v>21</v>
      </c>
      <c r="E22" s="30" t="s">
        <v>21</v>
      </c>
      <c r="F22" s="22" t="s">
        <v>14</v>
      </c>
      <c r="G22" s="30" t="s">
        <v>95</v>
      </c>
      <c r="H22" s="23" t="s">
        <v>0</v>
      </c>
      <c r="I22" s="46" t="s">
        <v>101</v>
      </c>
      <c r="J22" s="24" t="s">
        <v>97</v>
      </c>
      <c r="K22" s="46" t="s">
        <v>98</v>
      </c>
      <c r="M22" s="24" t="s">
        <v>58</v>
      </c>
      <c r="N22" s="24" t="s">
        <v>59</v>
      </c>
    </row>
    <row r="23" spans="1:14" x14ac:dyDescent="0.35">
      <c r="A23" s="1" t="s">
        <v>37</v>
      </c>
      <c r="B23" s="1" t="s">
        <v>63</v>
      </c>
      <c r="C23" s="1" t="s">
        <v>118</v>
      </c>
      <c r="D23" s="1" t="s">
        <v>83</v>
      </c>
      <c r="E23" s="1">
        <v>1E-3</v>
      </c>
      <c r="F23" s="21" t="s">
        <v>5</v>
      </c>
      <c r="G23" s="14" t="s">
        <v>90</v>
      </c>
      <c r="H23" s="25">
        <f>Amp_Inv1_Calc!$C$27</f>
        <v>6</v>
      </c>
      <c r="I23" s="28">
        <f>E23*H23</f>
        <v>6.0000000000000001E-3</v>
      </c>
      <c r="J23" s="10">
        <f>Amp_Inv1_Calc!$C$15</f>
        <v>-5</v>
      </c>
      <c r="K23" s="28">
        <f>I23*1/J23</f>
        <v>-1.2000000000000001E-3</v>
      </c>
      <c r="L23" s="2" t="s">
        <v>5</v>
      </c>
      <c r="M23" s="28">
        <f>ABS(K23)</f>
        <v>1.2000000000000001E-3</v>
      </c>
      <c r="N23" s="17">
        <f>K23^2</f>
        <v>1.4400000000000002E-6</v>
      </c>
    </row>
    <row r="24" spans="1:14" x14ac:dyDescent="0.35">
      <c r="A24" s="1" t="s">
        <v>39</v>
      </c>
      <c r="B24" s="1" t="s">
        <v>64</v>
      </c>
      <c r="C24" s="1" t="s">
        <v>118</v>
      </c>
      <c r="D24" s="1" t="s">
        <v>115</v>
      </c>
      <c r="E24" s="17">
        <v>1E-8</v>
      </c>
      <c r="F24" s="1" t="s">
        <v>13</v>
      </c>
      <c r="G24" s="14" t="s">
        <v>90</v>
      </c>
      <c r="H24" s="16">
        <f>Amp_Inv1_Calc!$C$31</f>
        <v>-50000</v>
      </c>
      <c r="I24" s="28">
        <f>E24*H24</f>
        <v>-5.0000000000000001E-4</v>
      </c>
      <c r="J24" s="10">
        <f>Amp_Inv1_Calc!$C$15</f>
        <v>-5</v>
      </c>
      <c r="K24" s="28">
        <f>I24*1/J24</f>
        <v>1E-4</v>
      </c>
      <c r="L24" s="2" t="s">
        <v>5</v>
      </c>
      <c r="M24" s="28">
        <f>ABS(K24)</f>
        <v>1E-4</v>
      </c>
      <c r="N24" s="17">
        <f>K24^2</f>
        <v>1E-8</v>
      </c>
    </row>
    <row r="25" spans="1:14" x14ac:dyDescent="0.35">
      <c r="A25" s="1" t="s">
        <v>39</v>
      </c>
      <c r="B25" s="1" t="s">
        <v>65</v>
      </c>
      <c r="C25" s="1" t="s">
        <v>118</v>
      </c>
      <c r="D25" s="1" t="s">
        <v>114</v>
      </c>
      <c r="E25" s="17">
        <v>1E-8</v>
      </c>
      <c r="F25" s="1" t="s">
        <v>13</v>
      </c>
      <c r="G25" s="14" t="s">
        <v>90</v>
      </c>
      <c r="H25" s="16">
        <f>Amp_Inv1_Calc!$C$29</f>
        <v>3000</v>
      </c>
      <c r="I25" s="28">
        <f>E25*H25</f>
        <v>3.0000000000000001E-5</v>
      </c>
      <c r="J25" s="10">
        <f>Amp_Inv1_Calc!$C$15</f>
        <v>-5</v>
      </c>
      <c r="K25" s="28">
        <f>I25*1/J25</f>
        <v>-6.0000000000000002E-6</v>
      </c>
      <c r="L25" s="2" t="s">
        <v>5</v>
      </c>
      <c r="M25" s="28">
        <f>ABS(K25)</f>
        <v>6.0000000000000002E-6</v>
      </c>
      <c r="N25" s="17">
        <f>K25^2</f>
        <v>3.6000000000000005E-11</v>
      </c>
    </row>
    <row r="26" spans="1:14" x14ac:dyDescent="0.35">
      <c r="B26" s="1" t="s">
        <v>26</v>
      </c>
      <c r="E26" s="17"/>
      <c r="F26" s="1"/>
      <c r="G26" s="14"/>
      <c r="H26" s="16"/>
      <c r="I26" s="18"/>
      <c r="J26" s="10"/>
      <c r="K26" s="28"/>
    </row>
    <row r="27" spans="1:14" x14ac:dyDescent="0.35">
      <c r="G27" s="1"/>
      <c r="I27" s="1"/>
      <c r="J27" s="10"/>
      <c r="K27" s="20"/>
      <c r="L27" s="2"/>
      <c r="M27" s="39" t="s">
        <v>72</v>
      </c>
      <c r="N27" s="33" t="s">
        <v>73</v>
      </c>
    </row>
    <row r="28" spans="1:14" x14ac:dyDescent="0.35">
      <c r="G28" s="1"/>
      <c r="I28" s="1"/>
      <c r="J28" s="1"/>
      <c r="K28" s="20"/>
      <c r="L28" s="2"/>
      <c r="M28" s="28">
        <f>SUM(M23:M26)</f>
        <v>1.3060000000000001E-3</v>
      </c>
      <c r="N28" s="28">
        <f>SQRT(SUM(N23:N26))</f>
        <v>1.2041744059728225E-3</v>
      </c>
    </row>
    <row r="29" spans="1:14" x14ac:dyDescent="0.35">
      <c r="G29" s="1"/>
      <c r="I29" s="1"/>
      <c r="J29" s="1"/>
      <c r="K29" s="20"/>
      <c r="L29" s="26"/>
    </row>
    <row r="30" spans="1:14" ht="29" x14ac:dyDescent="0.35">
      <c r="A30" s="7" t="s">
        <v>60</v>
      </c>
      <c r="B30" s="7"/>
      <c r="C30" s="7"/>
      <c r="D30" s="36" t="s">
        <v>48</v>
      </c>
      <c r="E30" s="36" t="s">
        <v>49</v>
      </c>
      <c r="G30" s="36" t="s">
        <v>94</v>
      </c>
      <c r="H30" s="36" t="s">
        <v>47</v>
      </c>
      <c r="I30" s="36" t="s">
        <v>99</v>
      </c>
      <c r="J30" s="36" t="s">
        <v>96</v>
      </c>
      <c r="K30" s="39" t="s">
        <v>54</v>
      </c>
      <c r="L30" s="26"/>
      <c r="M30" s="1"/>
      <c r="N30" s="31"/>
    </row>
    <row r="31" spans="1:14" ht="29" x14ac:dyDescent="0.35">
      <c r="A31" s="22" t="s">
        <v>38</v>
      </c>
      <c r="B31" s="22" t="s">
        <v>56</v>
      </c>
      <c r="C31" s="22" t="s">
        <v>77</v>
      </c>
      <c r="D31" s="30" t="s">
        <v>21</v>
      </c>
      <c r="E31" s="30" t="s">
        <v>21</v>
      </c>
      <c r="F31" s="22" t="s">
        <v>14</v>
      </c>
      <c r="G31" s="30" t="s">
        <v>95</v>
      </c>
      <c r="H31" s="23" t="s">
        <v>0</v>
      </c>
      <c r="I31" s="46" t="s">
        <v>100</v>
      </c>
      <c r="J31" s="24" t="s">
        <v>97</v>
      </c>
      <c r="K31" s="46" t="s">
        <v>98</v>
      </c>
      <c r="L31" s="34"/>
      <c r="M31" s="24" t="s">
        <v>58</v>
      </c>
      <c r="N31" s="24" t="s">
        <v>59</v>
      </c>
    </row>
    <row r="32" spans="1:14" x14ac:dyDescent="0.35">
      <c r="A32" s="1" t="s">
        <v>37</v>
      </c>
      <c r="B32" s="1" t="s">
        <v>84</v>
      </c>
      <c r="C32" s="1" t="s">
        <v>118</v>
      </c>
      <c r="D32" s="1" t="s">
        <v>87</v>
      </c>
      <c r="E32" s="27">
        <v>1.0000000000000001E-5</v>
      </c>
      <c r="F32" s="21" t="s">
        <v>17</v>
      </c>
      <c r="G32" s="14" t="s">
        <v>90</v>
      </c>
      <c r="H32" s="25">
        <f>Amp_Inv1_Calc!$C$27</f>
        <v>6</v>
      </c>
      <c r="I32" s="28">
        <f>E32*$C$9*H32</f>
        <v>1.8000000000000002E-3</v>
      </c>
      <c r="J32" s="10">
        <f>Amp_Inv1_Calc!$C$15</f>
        <v>-5</v>
      </c>
      <c r="K32" s="28">
        <f>I32*1/J32</f>
        <v>-3.6000000000000002E-4</v>
      </c>
      <c r="L32" s="2" t="s">
        <v>5</v>
      </c>
      <c r="M32" s="28">
        <f>ABS(K32)</f>
        <v>3.6000000000000002E-4</v>
      </c>
      <c r="N32" s="17">
        <f>K32^2</f>
        <v>1.2960000000000002E-7</v>
      </c>
    </row>
    <row r="33" spans="1:14" x14ac:dyDescent="0.35">
      <c r="A33" s="1" t="s">
        <v>39</v>
      </c>
      <c r="B33" s="1" t="s">
        <v>86</v>
      </c>
      <c r="C33" s="1" t="s">
        <v>118</v>
      </c>
      <c r="D33" s="1" t="s">
        <v>117</v>
      </c>
      <c r="E33" s="17">
        <v>1.0000000000000001E-9</v>
      </c>
      <c r="F33" s="1" t="s">
        <v>18</v>
      </c>
      <c r="G33" s="14" t="s">
        <v>90</v>
      </c>
      <c r="H33" s="16">
        <f>Amp_Inv1_Calc!$C$31</f>
        <v>-50000</v>
      </c>
      <c r="I33" s="28">
        <f>E33*$C$9*H33</f>
        <v>-1.5000000000000002E-3</v>
      </c>
      <c r="J33" s="10">
        <f>Amp_Inv1_Calc!$C$15</f>
        <v>-5</v>
      </c>
      <c r="K33" s="28">
        <f>I33*1/J33</f>
        <v>3.0000000000000003E-4</v>
      </c>
      <c r="L33" s="2" t="s">
        <v>5</v>
      </c>
      <c r="M33" s="28">
        <f>ABS(K33)</f>
        <v>3.0000000000000003E-4</v>
      </c>
      <c r="N33" s="17">
        <f>K33^2</f>
        <v>9.0000000000000012E-8</v>
      </c>
    </row>
    <row r="34" spans="1:14" x14ac:dyDescent="0.35">
      <c r="A34" s="1" t="s">
        <v>39</v>
      </c>
      <c r="B34" s="1" t="s">
        <v>85</v>
      </c>
      <c r="C34" s="1" t="s">
        <v>118</v>
      </c>
      <c r="D34" s="1" t="s">
        <v>116</v>
      </c>
      <c r="E34" s="17">
        <v>1.0000000000000001E-9</v>
      </c>
      <c r="F34" s="1" t="s">
        <v>18</v>
      </c>
      <c r="G34" s="14" t="s">
        <v>90</v>
      </c>
      <c r="H34" s="16">
        <f>Amp_Inv1_Calc!$C$29</f>
        <v>3000</v>
      </c>
      <c r="I34" s="28">
        <f>E34*$C$9*H34</f>
        <v>9.0000000000000006E-5</v>
      </c>
      <c r="J34" s="10">
        <f>Amp_Inv1_Calc!$C$15</f>
        <v>-5</v>
      </c>
      <c r="K34" s="28">
        <f>I34*1/J34</f>
        <v>-1.8E-5</v>
      </c>
      <c r="L34" s="2" t="s">
        <v>5</v>
      </c>
      <c r="M34" s="28">
        <f>ABS(K34)</f>
        <v>1.8E-5</v>
      </c>
      <c r="N34" s="17">
        <f>K34^2</f>
        <v>3.2400000000000002E-10</v>
      </c>
    </row>
    <row r="35" spans="1:14" x14ac:dyDescent="0.35">
      <c r="B35" s="1" t="s">
        <v>26</v>
      </c>
    </row>
    <row r="36" spans="1:14" x14ac:dyDescent="0.35">
      <c r="G36" s="1"/>
      <c r="H36" s="1"/>
      <c r="I36" s="1"/>
      <c r="J36" s="29"/>
      <c r="K36" s="2"/>
      <c r="M36" s="39" t="s">
        <v>72</v>
      </c>
      <c r="N36" s="33" t="s">
        <v>73</v>
      </c>
    </row>
    <row r="37" spans="1:14" x14ac:dyDescent="0.35">
      <c r="G37" s="1"/>
      <c r="H37" s="1"/>
      <c r="I37" s="1"/>
      <c r="J37" s="29"/>
      <c r="K37" s="2"/>
      <c r="M37" s="28">
        <f>SUM(M32:M35)</f>
        <v>6.78E-4</v>
      </c>
      <c r="N37" s="28">
        <f>SQRT(SUM(N32:N35))</f>
        <v>4.6896055271205915E-4</v>
      </c>
    </row>
    <row r="38" spans="1:14" x14ac:dyDescent="0.35">
      <c r="G38" s="1"/>
      <c r="H38" s="1"/>
      <c r="I38" s="1"/>
      <c r="J38" s="29"/>
      <c r="K38" s="26"/>
    </row>
  </sheetData>
  <phoneticPr fontId="8" type="noConversion"/>
  <conditionalFormatting sqref="G13">
    <cfRule type="containsText" dxfId="5" priority="1" operator="containsText" text="FAIL">
      <formula>NOT(ISERROR(SEARCH("FAIL",G13)))</formula>
    </cfRule>
    <cfRule type="containsText" dxfId="4" priority="2" operator="containsText" text="PASS">
      <formula>NOT(ISERROR(SEARCH("PASS",G13)))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5EF7E-5CEB-4BDA-865B-DFD59248A802}">
  <sheetPr>
    <tabColor theme="5" tint="0.79998168889431442"/>
  </sheetPr>
  <dimension ref="A1:O36"/>
  <sheetViews>
    <sheetView topLeftCell="A10" zoomScale="70" zoomScaleNormal="70" workbookViewId="0">
      <selection activeCell="J29" sqref="J29"/>
    </sheetView>
  </sheetViews>
  <sheetFormatPr defaultRowHeight="14.5" x14ac:dyDescent="0.35"/>
  <cols>
    <col min="1" max="1" width="14.6328125" customWidth="1"/>
    <col min="2" max="2" width="15.54296875" customWidth="1"/>
    <col min="3" max="3" width="11.453125" customWidth="1"/>
    <col min="4" max="4" width="11.81640625" customWidth="1"/>
    <col min="5" max="5" width="11.1796875" customWidth="1"/>
    <col min="6" max="6" width="12.1796875" customWidth="1"/>
    <col min="7" max="7" width="13.6328125" customWidth="1"/>
    <col min="8" max="8" width="14.90625" customWidth="1"/>
    <col min="9" max="9" width="15.08984375" customWidth="1"/>
    <col min="10" max="10" width="10" bestFit="1" customWidth="1"/>
    <col min="11" max="11" width="10.81640625" customWidth="1"/>
    <col min="12" max="12" width="12.6328125" customWidth="1"/>
    <col min="13" max="13" width="12.81640625" customWidth="1"/>
    <col min="14" max="14" width="13.1796875" customWidth="1"/>
  </cols>
  <sheetData>
    <row r="1" spans="1:13" ht="21" x14ac:dyDescent="0.5">
      <c r="A1" s="43" t="s">
        <v>112</v>
      </c>
      <c r="F1" s="1"/>
      <c r="G1" s="1"/>
      <c r="H1" s="1"/>
    </row>
    <row r="2" spans="1:13" x14ac:dyDescent="0.35">
      <c r="E2" s="3"/>
      <c r="F2" s="2" t="s">
        <v>19</v>
      </c>
      <c r="G2" s="2"/>
      <c r="H2" s="2"/>
    </row>
    <row r="3" spans="1:13" x14ac:dyDescent="0.35">
      <c r="E3" s="4"/>
      <c r="F3" s="2" t="s">
        <v>20</v>
      </c>
      <c r="G3" s="2"/>
      <c r="H3" s="2"/>
      <c r="J3" s="1"/>
    </row>
    <row r="4" spans="1:13" x14ac:dyDescent="0.35">
      <c r="F4" s="2"/>
      <c r="G4" s="2"/>
      <c r="H4" s="2"/>
      <c r="J4" s="1"/>
    </row>
    <row r="5" spans="1:13" x14ac:dyDescent="0.35">
      <c r="A5" s="15" t="s">
        <v>44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35">
      <c r="F6" s="2"/>
      <c r="G6" s="2"/>
      <c r="H6" s="2"/>
      <c r="J6" s="1"/>
    </row>
    <row r="7" spans="1:13" x14ac:dyDescent="0.35">
      <c r="C7" s="19" t="s">
        <v>27</v>
      </c>
      <c r="G7" s="1"/>
      <c r="H7" s="1"/>
      <c r="I7" s="1"/>
      <c r="J7" s="1"/>
    </row>
    <row r="8" spans="1:13" x14ac:dyDescent="0.35">
      <c r="C8" s="38" t="s">
        <v>113</v>
      </c>
      <c r="G8" s="1"/>
      <c r="H8" s="1"/>
      <c r="I8" s="1"/>
      <c r="J8" s="1"/>
    </row>
    <row r="9" spans="1:13" x14ac:dyDescent="0.35">
      <c r="C9" s="10">
        <v>30</v>
      </c>
    </row>
    <row r="10" spans="1:13" x14ac:dyDescent="0.35">
      <c r="C10" s="10"/>
      <c r="D10" s="19"/>
    </row>
    <row r="11" spans="1:13" x14ac:dyDescent="0.35">
      <c r="B11" s="31" t="s">
        <v>107</v>
      </c>
      <c r="C11" t="s">
        <v>29</v>
      </c>
      <c r="D11" s="10"/>
      <c r="E11" s="10"/>
      <c r="F11" s="1" t="s">
        <v>106</v>
      </c>
    </row>
    <row r="12" spans="1:13" x14ac:dyDescent="0.35">
      <c r="A12" s="7" t="s">
        <v>23</v>
      </c>
      <c r="B12" s="3" t="s">
        <v>71</v>
      </c>
      <c r="C12" s="4" t="s">
        <v>24</v>
      </c>
      <c r="D12" s="4" t="s">
        <v>35</v>
      </c>
      <c r="E12" s="41" t="s">
        <v>25</v>
      </c>
      <c r="F12" s="4" t="s">
        <v>28</v>
      </c>
      <c r="G12" s="45" t="s">
        <v>30</v>
      </c>
    </row>
    <row r="13" spans="1:13" x14ac:dyDescent="0.35">
      <c r="B13" s="10">
        <v>1</v>
      </c>
      <c r="C13" s="25">
        <f>M27</f>
        <v>0.19900990099009874</v>
      </c>
      <c r="D13" s="25">
        <f>M36</f>
        <v>0.59702970297029623</v>
      </c>
      <c r="E13" s="25">
        <f>C13+D13</f>
        <v>0.79603960396039497</v>
      </c>
      <c r="F13" s="16">
        <f>(B13-E13)/B13*100</f>
        <v>20.396039603960503</v>
      </c>
      <c r="G13" s="9" t="str">
        <f>IF(F13&gt;0,"PASS", "FAIL")</f>
        <v>PASS</v>
      </c>
      <c r="H13" s="9"/>
    </row>
    <row r="14" spans="1:13" x14ac:dyDescent="0.35">
      <c r="B14" s="1"/>
      <c r="C14" s="1"/>
      <c r="E14" s="1"/>
      <c r="F14" s="1"/>
    </row>
    <row r="15" spans="1:13" x14ac:dyDescent="0.35">
      <c r="B15" s="1"/>
      <c r="C15" s="1"/>
      <c r="E15" s="1"/>
      <c r="F15" s="1"/>
      <c r="H15" s="9"/>
    </row>
    <row r="16" spans="1:13" x14ac:dyDescent="0.35">
      <c r="B16" s="1"/>
    </row>
    <row r="17" spans="1:15" x14ac:dyDescent="0.35">
      <c r="F17" s="1"/>
      <c r="G17" s="1"/>
      <c r="H17" s="1"/>
      <c r="I17" s="29"/>
      <c r="J17" s="26"/>
    </row>
    <row r="19" spans="1:15" x14ac:dyDescent="0.35">
      <c r="A19" s="15" t="s">
        <v>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1:15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t="s">
        <v>105</v>
      </c>
    </row>
    <row r="21" spans="1:15" ht="29" x14ac:dyDescent="0.35">
      <c r="A21" s="7" t="s">
        <v>15</v>
      </c>
      <c r="B21" s="7"/>
      <c r="C21" s="7"/>
      <c r="D21" s="36" t="s">
        <v>48</v>
      </c>
      <c r="E21" s="36" t="s">
        <v>49</v>
      </c>
      <c r="G21" s="36" t="s">
        <v>94</v>
      </c>
      <c r="H21" s="36" t="s">
        <v>36</v>
      </c>
      <c r="I21" s="36" t="s">
        <v>104</v>
      </c>
      <c r="M21" s="31" t="s">
        <v>120</v>
      </c>
      <c r="N21" s="31" t="s">
        <v>119</v>
      </c>
    </row>
    <row r="22" spans="1:15" ht="29" x14ac:dyDescent="0.35">
      <c r="A22" s="22" t="s">
        <v>38</v>
      </c>
      <c r="B22" s="22" t="s">
        <v>56</v>
      </c>
      <c r="C22" s="22" t="s">
        <v>77</v>
      </c>
      <c r="D22" s="30" t="s">
        <v>21</v>
      </c>
      <c r="E22" s="30" t="s">
        <v>21</v>
      </c>
      <c r="F22" s="22" t="s">
        <v>14</v>
      </c>
      <c r="G22" s="30" t="s">
        <v>95</v>
      </c>
      <c r="H22" s="23" t="s">
        <v>0</v>
      </c>
      <c r="I22" s="42" t="s">
        <v>103</v>
      </c>
      <c r="J22" s="37"/>
      <c r="K22" s="34"/>
      <c r="L22" s="34"/>
      <c r="M22" s="24" t="s">
        <v>50</v>
      </c>
      <c r="N22" s="24" t="s">
        <v>51</v>
      </c>
    </row>
    <row r="23" spans="1:15" x14ac:dyDescent="0.35">
      <c r="A23" s="1" t="s">
        <v>37</v>
      </c>
      <c r="B23" s="1" t="s">
        <v>32</v>
      </c>
      <c r="C23" s="1" t="s">
        <v>78</v>
      </c>
      <c r="D23" s="1" t="s">
        <v>79</v>
      </c>
      <c r="E23" s="1">
        <v>0.1</v>
      </c>
      <c r="F23" s="21" t="s">
        <v>9</v>
      </c>
      <c r="G23" s="14" t="s">
        <v>90</v>
      </c>
      <c r="H23" s="25">
        <f>Amp_Inv1_Calc!$C$39</f>
        <v>0.99999999999999634</v>
      </c>
      <c r="I23" s="25">
        <f>E23*H23</f>
        <v>9.9999999999999645E-2</v>
      </c>
      <c r="J23" s="14"/>
      <c r="L23" s="2"/>
      <c r="M23" s="6">
        <f>ABS(I23)</f>
        <v>9.9999999999999645E-2</v>
      </c>
      <c r="N23" s="17">
        <f>I23^2</f>
        <v>9.9999999999999291E-3</v>
      </c>
      <c r="O23" s="2" t="s">
        <v>9</v>
      </c>
    </row>
    <row r="24" spans="1:15" x14ac:dyDescent="0.35">
      <c r="A24" s="1" t="s">
        <v>39</v>
      </c>
      <c r="B24" s="1" t="s">
        <v>31</v>
      </c>
      <c r="C24" s="1" t="s">
        <v>78</v>
      </c>
      <c r="D24" s="1" t="s">
        <v>79</v>
      </c>
      <c r="E24" s="1">
        <v>0.1</v>
      </c>
      <c r="F24" s="21" t="s">
        <v>9</v>
      </c>
      <c r="G24" s="14" t="s">
        <v>90</v>
      </c>
      <c r="H24" s="25">
        <f>Amp_Inv1_Calc!$C$43</f>
        <v>-0.99009900990099098</v>
      </c>
      <c r="I24" s="25">
        <f>E24*H24</f>
        <v>-9.9009900990099098E-2</v>
      </c>
      <c r="J24" s="14"/>
      <c r="L24" s="2"/>
      <c r="M24" s="6">
        <f>ABS(I24)</f>
        <v>9.9009900990099098E-2</v>
      </c>
      <c r="N24" s="17">
        <f>I24^2</f>
        <v>9.802960494069226E-3</v>
      </c>
      <c r="O24" s="2" t="s">
        <v>9</v>
      </c>
    </row>
    <row r="25" spans="1:15" x14ac:dyDescent="0.35">
      <c r="B25" s="1" t="s">
        <v>26</v>
      </c>
    </row>
    <row r="26" spans="1:15" x14ac:dyDescent="0.35">
      <c r="G26" s="1"/>
      <c r="J26" s="1"/>
      <c r="M26" s="39" t="s">
        <v>72</v>
      </c>
      <c r="N26" s="33" t="s">
        <v>73</v>
      </c>
    </row>
    <row r="27" spans="1:15" x14ac:dyDescent="0.35">
      <c r="G27" s="1"/>
      <c r="J27" s="1"/>
      <c r="M27" s="6">
        <f>SUM(M23:M25)</f>
        <v>0.19900990099009874</v>
      </c>
      <c r="N27" s="6">
        <f>SQRT(SUM(N23:N25))</f>
        <v>0.1407229920591129</v>
      </c>
    </row>
    <row r="30" spans="1:15" ht="29" x14ac:dyDescent="0.35">
      <c r="A30" s="7" t="s">
        <v>60</v>
      </c>
      <c r="B30" s="7"/>
      <c r="C30" s="7"/>
      <c r="D30" s="36" t="s">
        <v>48</v>
      </c>
      <c r="E30" s="36" t="s">
        <v>49</v>
      </c>
      <c r="G30" s="36" t="s">
        <v>94</v>
      </c>
      <c r="H30" s="36" t="s">
        <v>36</v>
      </c>
      <c r="I30" s="36" t="s">
        <v>104</v>
      </c>
      <c r="M30" s="31"/>
      <c r="N30" s="31"/>
    </row>
    <row r="31" spans="1:15" ht="29" x14ac:dyDescent="0.35">
      <c r="A31" s="22" t="s">
        <v>38</v>
      </c>
      <c r="B31" s="22" t="s">
        <v>56</v>
      </c>
      <c r="C31" s="22" t="s">
        <v>77</v>
      </c>
      <c r="D31" s="22" t="s">
        <v>21</v>
      </c>
      <c r="E31" s="22" t="s">
        <v>21</v>
      </c>
      <c r="F31" s="22" t="s">
        <v>14</v>
      </c>
      <c r="G31" s="30" t="s">
        <v>95</v>
      </c>
      <c r="H31" s="23" t="s">
        <v>0</v>
      </c>
      <c r="I31" s="42" t="s">
        <v>102</v>
      </c>
      <c r="J31" s="34"/>
      <c r="K31" s="34"/>
      <c r="L31" s="34"/>
      <c r="M31" s="24" t="s">
        <v>50</v>
      </c>
      <c r="N31" s="24" t="s">
        <v>51</v>
      </c>
    </row>
    <row r="32" spans="1:15" x14ac:dyDescent="0.35">
      <c r="A32" s="1" t="s">
        <v>37</v>
      </c>
      <c r="B32" s="1" t="s">
        <v>82</v>
      </c>
      <c r="C32" s="1" t="s">
        <v>78</v>
      </c>
      <c r="D32" s="1" t="s">
        <v>80</v>
      </c>
      <c r="E32" s="1">
        <v>100</v>
      </c>
      <c r="F32" s="21" t="s">
        <v>16</v>
      </c>
      <c r="G32" s="14" t="s">
        <v>90</v>
      </c>
      <c r="H32" s="25">
        <f>Amp_Inv1_Calc!$C$39</f>
        <v>0.99999999999999634</v>
      </c>
      <c r="I32" s="25">
        <f>E32/1000000*$C$9*H32*100</f>
        <v>0.29999999999999893</v>
      </c>
      <c r="J32" s="14"/>
      <c r="M32" s="6">
        <f>ABS(I32)</f>
        <v>0.29999999999999893</v>
      </c>
      <c r="N32" s="17">
        <f>I32^2</f>
        <v>8.9999999999999358E-2</v>
      </c>
      <c r="O32" s="2" t="s">
        <v>9</v>
      </c>
    </row>
    <row r="33" spans="1:15" x14ac:dyDescent="0.35">
      <c r="A33" s="1" t="s">
        <v>39</v>
      </c>
      <c r="B33" s="1" t="s">
        <v>81</v>
      </c>
      <c r="C33" s="1" t="s">
        <v>78</v>
      </c>
      <c r="D33" s="1" t="s">
        <v>80</v>
      </c>
      <c r="E33" s="1">
        <v>100</v>
      </c>
      <c r="F33" s="21" t="s">
        <v>16</v>
      </c>
      <c r="G33" s="14" t="s">
        <v>90</v>
      </c>
      <c r="H33" s="25">
        <f>Amp_Inv1_Calc!$C$43</f>
        <v>-0.99009900990099098</v>
      </c>
      <c r="I33" s="25">
        <f>E33/1000000*$C$9*H33*100</f>
        <v>-0.29702970297029729</v>
      </c>
      <c r="J33" s="14"/>
      <c r="L33" s="2"/>
      <c r="M33" s="6">
        <f>ABS(I33)</f>
        <v>0.29702970297029729</v>
      </c>
      <c r="N33" s="17">
        <f>I33^2</f>
        <v>8.8226644446623037E-2</v>
      </c>
      <c r="O33" s="2" t="s">
        <v>9</v>
      </c>
    </row>
    <row r="34" spans="1:15" x14ac:dyDescent="0.35">
      <c r="B34" s="1" t="s">
        <v>26</v>
      </c>
    </row>
    <row r="35" spans="1:15" x14ac:dyDescent="0.35">
      <c r="G35" s="1"/>
      <c r="H35" s="1"/>
      <c r="I35" s="1"/>
      <c r="M35" s="39" t="s">
        <v>72</v>
      </c>
      <c r="N35" s="33" t="s">
        <v>73</v>
      </c>
    </row>
    <row r="36" spans="1:15" x14ac:dyDescent="0.35">
      <c r="G36" s="1"/>
      <c r="H36" s="1"/>
      <c r="I36" s="1"/>
      <c r="M36" s="6">
        <f>SUM(M32:M34)</f>
        <v>0.59702970297029623</v>
      </c>
      <c r="N36" s="6">
        <f>SQRT(SUM(N32:N34))</f>
        <v>0.42216897617733873</v>
      </c>
    </row>
  </sheetData>
  <conditionalFormatting sqref="G13">
    <cfRule type="containsText" dxfId="3" priority="1" operator="containsText" text="FAIL">
      <formula>NOT(ISERROR(SEARCH("FAIL",G13)))</formula>
    </cfRule>
    <cfRule type="containsText" dxfId="2" priority="2" operator="containsText" text="PASS">
      <formula>NOT(ISERROR(SEARCH("PASS",G13)))</formula>
    </cfRule>
  </conditionalFormatting>
  <conditionalFormatting sqref="H15">
    <cfRule type="containsText" dxfId="1" priority="9" operator="containsText" text="FAIL">
      <formula>NOT(ISERROR(SEARCH("FAIL",H15)))</formula>
    </cfRule>
    <cfRule type="containsText" dxfId="0" priority="10" operator="containsText" text="PASS">
      <formula>NOT(ISERROR(SEARCH("PASS",H15)))</formula>
    </cfRule>
  </conditionalFormatting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Props1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Amp_Inv1_Calc</vt:lpstr>
      <vt:lpstr>Offset Errors</vt:lpstr>
      <vt:lpstr>Gain Errors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2025-03-07T15:17:08Z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