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Documents\Web Sites\ecircuitcenter.com\op-amp-discovery\"/>
    </mc:Choice>
  </mc:AlternateContent>
  <xr:revisionPtr revIDLastSave="0" documentId="13_ncr:1_{882490AF-B6D5-46FA-81F3-A8FF8268CC3A}" xr6:coauthVersionLast="47" xr6:coauthVersionMax="47" xr10:uidLastSave="{00000000-0000-0000-0000-000000000000}"/>
  <bookViews>
    <workbookView xWindow="4430" yWindow="340" windowWidth="11740" windowHeight="9860" xr2:uid="{00000000-000D-0000-FFFF-FFFF00000000}"/>
  </bookViews>
  <sheets>
    <sheet name="Overview" sheetId="49" r:id="rId1"/>
    <sheet name="Non-Inverting" sheetId="13" r:id="rId2"/>
    <sheet name="Inverting" sheetId="39" r:id="rId3"/>
    <sheet name="Diff Amp" sheetId="28" r:id="rId4"/>
    <sheet name="Summer" sheetId="38" r:id="rId5"/>
    <sheet name="Integrator" sheetId="14" r:id="rId6"/>
    <sheet name="Differentiator" sheetId="15" r:id="rId7"/>
    <sheet name="Sallen-Key LP Fil" sheetId="24" r:id="rId8"/>
    <sheet name="Square Wave Osc" sheetId="31" r:id="rId9"/>
    <sheet name="Wien-Bridge Osc" sheetId="32" r:id="rId10"/>
    <sheet name="Half-Wave Rect" sheetId="41" r:id="rId11"/>
    <sheet name="Cstray" sheetId="42" r:id="rId12"/>
    <sheet name="Current Source" sheetId="25" r:id="rId13"/>
    <sheet name="Voltage Reg" sheetId="43" r:id="rId14"/>
    <sheet name="Remote Sense" sheetId="44" r:id="rId15"/>
    <sheet name="Twin-T Feedback" sheetId="45" r:id="rId16"/>
    <sheet name="Thermistor Preamp" sheetId="46" r:id="rId17"/>
    <sheet name="Comparator" sheetId="22" r:id="rId18"/>
    <sheet name="I-to-V Converter" sheetId="47" r:id="rId19"/>
    <sheet name="Single-Supply Amp" sheetId="48" r:id="rId20"/>
    <sheet name="Capacitive Load" sheetId="50" r:id="rId21"/>
    <sheet name="Signal Source Divider" sheetId="19" r:id="rId22"/>
    <sheet name="Linear Regulator" sheetId="8" r:id="rId23"/>
    <sheet name="RC Inverter Osc" sheetId="40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50" l="1"/>
  <c r="B28" i="50"/>
  <c r="B23" i="41" l="1"/>
  <c r="B27" i="40"/>
  <c r="B26" i="40"/>
  <c r="B48" i="15"/>
  <c r="B38" i="15"/>
  <c r="B45" i="15" s="1"/>
  <c r="B35" i="15"/>
  <c r="B35" i="19"/>
  <c r="B36" i="19" s="1"/>
  <c r="B25" i="19"/>
  <c r="B24" i="19"/>
  <c r="B30" i="19"/>
  <c r="B31" i="19" s="1"/>
  <c r="B24" i="45"/>
  <c r="B25" i="45" s="1"/>
  <c r="B28" i="45" s="1"/>
  <c r="B38" i="48"/>
  <c r="B34" i="48"/>
  <c r="B28" i="48"/>
  <c r="B31" i="48" s="1"/>
  <c r="B23" i="47"/>
  <c r="B30" i="46"/>
  <c r="B33" i="46" s="1"/>
  <c r="B36" i="46" s="1"/>
  <c r="B42" i="46" s="1"/>
  <c r="B27" i="46"/>
  <c r="B30" i="40" l="1"/>
  <c r="B31" i="40" s="1"/>
  <c r="B50" i="15"/>
  <c r="B42" i="15"/>
  <c r="B29" i="45"/>
  <c r="B24" i="44"/>
  <c r="B25" i="44"/>
  <c r="B29" i="44" s="1"/>
  <c r="B38" i="22"/>
  <c r="B33" i="22"/>
  <c r="B35" i="22" s="1"/>
  <c r="B27" i="43"/>
  <c r="B28" i="43" s="1"/>
  <c r="B29" i="43" s="1"/>
  <c r="B28" i="25"/>
  <c r="B31" i="42"/>
  <c r="B26" i="42"/>
  <c r="B25" i="42"/>
  <c r="B31" i="41"/>
  <c r="B32" i="41" s="1"/>
  <c r="B24" i="41"/>
  <c r="B28" i="31"/>
  <c r="B31" i="31" s="1"/>
  <c r="B22" i="24"/>
  <c r="B29" i="24" s="1"/>
  <c r="B30" i="24" s="1"/>
  <c r="B31" i="24" s="1"/>
  <c r="B29" i="39"/>
  <c r="B30" i="39" s="1"/>
  <c r="B21" i="39"/>
  <c r="B22" i="39" s="1"/>
  <c r="B21" i="13"/>
  <c r="B22" i="13" s="1"/>
  <c r="B29" i="38"/>
  <c r="B33" i="38" s="1"/>
  <c r="B28" i="38"/>
  <c r="B32" i="38" s="1"/>
  <c r="B22" i="25"/>
  <c r="B24" i="22"/>
  <c r="B36" i="38" l="1"/>
  <c r="B34" i="22"/>
  <c r="B40" i="22" s="1"/>
  <c r="B32" i="43"/>
  <c r="B32" i="31"/>
  <c r="B31" i="32"/>
  <c r="B32" i="32" s="1"/>
  <c r="B28" i="32"/>
  <c r="B29" i="28"/>
  <c r="B28" i="28"/>
  <c r="B32" i="28" s="1"/>
  <c r="B39" i="22" l="1"/>
  <c r="B43" i="22" s="1"/>
  <c r="B23" i="15"/>
  <c r="B22" i="14"/>
  <c r="B23" i="14" s="1"/>
  <c r="B26" i="14" s="1"/>
  <c r="B29" i="13"/>
  <c r="B30" i="13" s="1"/>
  <c r="B29" i="8"/>
  <c r="B30" i="8" s="1"/>
  <c r="B22" i="8"/>
  <c r="B24" i="15" l="1"/>
  <c r="B27" i="15" s="1"/>
</calcChain>
</file>

<file path=xl/sharedStrings.xml><?xml version="1.0" encoding="utf-8"?>
<sst xmlns="http://schemas.openxmlformats.org/spreadsheetml/2006/main" count="516" uniqueCount="326">
  <si>
    <t>R1</t>
  </si>
  <si>
    <t>R2</t>
  </si>
  <si>
    <t>Find R2</t>
  </si>
  <si>
    <t>R3</t>
  </si>
  <si>
    <t>Vin</t>
  </si>
  <si>
    <t>Vout</t>
  </si>
  <si>
    <t>Enter values</t>
  </si>
  <si>
    <t>Calc results</t>
  </si>
  <si>
    <t>enter values</t>
  </si>
  <si>
    <t>calc results</t>
  </si>
  <si>
    <t>R</t>
  </si>
  <si>
    <t>C</t>
  </si>
  <si>
    <t>1 / (2 pi R C)</t>
  </si>
  <si>
    <t>fc (-3dB)</t>
  </si>
  <si>
    <t>Tau</t>
  </si>
  <si>
    <t>Vref</t>
  </si>
  <si>
    <t>K</t>
  </si>
  <si>
    <t>Vout/Vref</t>
  </si>
  <si>
    <t>R1*(K-1)</t>
  </si>
  <si>
    <t>Iout</t>
  </si>
  <si>
    <t>(R1+R2)/R1</t>
  </si>
  <si>
    <t>Vcc</t>
  </si>
  <si>
    <t>Rload</t>
  </si>
  <si>
    <t>Kn</t>
  </si>
  <si>
    <t>Integrator</t>
  </si>
  <si>
    <t>C1</t>
  </si>
  <si>
    <r>
      <t>Δ</t>
    </r>
    <r>
      <rPr>
        <sz val="12.65"/>
        <color theme="1"/>
        <rFont val="Calibri"/>
        <family val="2"/>
      </rPr>
      <t>t</t>
    </r>
  </si>
  <si>
    <t>DC input</t>
  </si>
  <si>
    <t>time interval</t>
  </si>
  <si>
    <t>I_C1</t>
  </si>
  <si>
    <t>-1/C1 * I_C1*Δt</t>
  </si>
  <si>
    <t>Differentiator</t>
  </si>
  <si>
    <t>ΔVin</t>
  </si>
  <si>
    <t>I_R1</t>
  </si>
  <si>
    <t>C1*ΔVin/Δt</t>
  </si>
  <si>
    <t>-I_R1*R1</t>
  </si>
  <si>
    <t>Vin / R1</t>
  </si>
  <si>
    <t>ΔVout</t>
  </si>
  <si>
    <t>ohms</t>
  </si>
  <si>
    <t>Vo_HI</t>
  </si>
  <si>
    <t>Vo_LO</t>
  </si>
  <si>
    <t>Vhys</t>
  </si>
  <si>
    <t>Sallen-Key Low-Pass Filter</t>
  </si>
  <si>
    <t>R1,2</t>
  </si>
  <si>
    <t>C1,2</t>
  </si>
  <si>
    <t>Find Iout</t>
  </si>
  <si>
    <t>Tau1</t>
  </si>
  <si>
    <t>Tau2</t>
  </si>
  <si>
    <t>Find time constants of each RC pair</t>
  </si>
  <si>
    <t>Differential Amplifier</t>
  </si>
  <si>
    <t>R4</t>
  </si>
  <si>
    <t>R4/(R3+R4) * (R2+R1)/R1</t>
  </si>
  <si>
    <t>Kp</t>
  </si>
  <si>
    <t>-R2/R1</t>
  </si>
  <si>
    <t>pos input</t>
  </si>
  <si>
    <t>neg input</t>
  </si>
  <si>
    <t>Vo</t>
  </si>
  <si>
    <t>fo (Hz)</t>
  </si>
  <si>
    <t>K = vo/vp</t>
  </si>
  <si>
    <t>k = (R1+R2)/R1</t>
  </si>
  <si>
    <r>
      <t>fo = 1 / (2 pi R</t>
    </r>
    <r>
      <rPr>
        <sz val="12"/>
        <rFont val="Calibri"/>
        <family val="2"/>
        <scheme val="minor"/>
      </rPr>
      <t xml:space="preserve"> C)</t>
    </r>
  </si>
  <si>
    <t>To (s)</t>
  </si>
  <si>
    <t>RC Wien-Bridge Oscilator</t>
  </si>
  <si>
    <t>Vn</t>
  </si>
  <si>
    <t>Ttot</t>
  </si>
  <si>
    <t>To (Hz)</t>
  </si>
  <si>
    <t>Vth</t>
  </si>
  <si>
    <t>Vhys_hi</t>
  </si>
  <si>
    <t>Vhys_lo</t>
  </si>
  <si>
    <t>Vs_hi</t>
  </si>
  <si>
    <t>Vs_lo</t>
  </si>
  <si>
    <t>Vcc*R2/(R1+R2)</t>
  </si>
  <si>
    <t>Vs</t>
  </si>
  <si>
    <t>vs1</t>
  </si>
  <si>
    <t>Vs2</t>
  </si>
  <si>
    <t>vs1*K1</t>
  </si>
  <si>
    <t>K1</t>
  </si>
  <si>
    <t>K2</t>
  </si>
  <si>
    <t>vs2*K2</t>
  </si>
  <si>
    <t>vo1+vo2</t>
  </si>
  <si>
    <t>vo1</t>
  </si>
  <si>
    <t>vo2</t>
  </si>
  <si>
    <t>vs*K</t>
  </si>
  <si>
    <t>vs</t>
  </si>
  <si>
    <t>-R1*K</t>
  </si>
  <si>
    <t>vo</t>
  </si>
  <si>
    <t>Katt (dB)</t>
  </si>
  <si>
    <t>Vth = Vo*R1 / (R1+R2)</t>
  </si>
  <si>
    <t>B</t>
  </si>
  <si>
    <t>vo/vs1 = -R3/R1</t>
  </si>
  <si>
    <t>vo/vs2 = -R3/R2</t>
  </si>
  <si>
    <t>Katt (ratio)</t>
  </si>
  <si>
    <r>
      <rPr>
        <sz val="11"/>
        <color theme="1"/>
        <rFont val="Calibri"/>
        <family val="2"/>
      </rPr>
      <t>≈</t>
    </r>
    <r>
      <rPr>
        <sz val="11"/>
        <color theme="1"/>
        <rFont val="Calibri"/>
        <family val="2"/>
        <scheme val="minor"/>
      </rPr>
      <t xml:space="preserve"> f/fc</t>
    </r>
  </si>
  <si>
    <t>≈ 2*20*log(f/fc)</t>
  </si>
  <si>
    <t>≈ vs*Katt</t>
  </si>
  <si>
    <t>LED voltage</t>
  </si>
  <si>
    <t>Precision Rectifier - Inverting Amp</t>
  </si>
  <si>
    <t>Find Vout (for half wave only)</t>
  </si>
  <si>
    <t>CC</t>
  </si>
  <si>
    <t>Cstray</t>
  </si>
  <si>
    <t>R1*Cstray</t>
  </si>
  <si>
    <t>R2*CC</t>
  </si>
  <si>
    <t>Added compensation Cap</t>
  </si>
  <si>
    <t>Find CC</t>
  </si>
  <si>
    <t>Cstray*R2 / R1</t>
  </si>
  <si>
    <t>Copy this value into CC above.</t>
  </si>
  <si>
    <t>Rs</t>
  </si>
  <si>
    <t>Vs/Rs</t>
  </si>
  <si>
    <t>Enter LED voltage</t>
  </si>
  <si>
    <t>Vled</t>
  </si>
  <si>
    <t>Calc op amp output voltage</t>
  </si>
  <si>
    <t>Vu1.out</t>
  </si>
  <si>
    <t>Vs + Vled</t>
  </si>
  <si>
    <t>Enter circuit</t>
  </si>
  <si>
    <t xml:space="preserve">Vs </t>
  </si>
  <si>
    <t>Enter Q1</t>
  </si>
  <si>
    <t>Vbe</t>
  </si>
  <si>
    <t>Beta</t>
  </si>
  <si>
    <t>current gain Bet = Ic/Ib</t>
  </si>
  <si>
    <t>Vout + Vbe + Rb*Ib</t>
  </si>
  <si>
    <t>Iout = Ie</t>
  </si>
  <si>
    <t>Ib</t>
  </si>
  <si>
    <t>Vout/Rload</t>
  </si>
  <si>
    <t>Ie / (Beta+1)</t>
  </si>
  <si>
    <t>Rb</t>
  </si>
  <si>
    <t>Find Vout and Q1 current</t>
  </si>
  <si>
    <t>Calc threshold at op amp neg input</t>
  </si>
  <si>
    <t>Vs_hi - Vs_lo</t>
  </si>
  <si>
    <t>R3/(R3+R4)</t>
  </si>
  <si>
    <t>Calc feedback from Vo to at op amp input (vp) with vo_hi and vo_lo</t>
  </si>
  <si>
    <t>K4</t>
  </si>
  <si>
    <t>K3</t>
  </si>
  <si>
    <t>Vo_hi*K3</t>
  </si>
  <si>
    <t>Vo_lo*K3</t>
  </si>
  <si>
    <t>R4/(R3+R4)</t>
  </si>
  <si>
    <t>(vth + Vhys_hi)/K4</t>
  </si>
  <si>
    <t>(vth - Vhys_lo)/K4</t>
  </si>
  <si>
    <t>LED Voltage</t>
  </si>
  <si>
    <t>Remote Voltage Sense at Rload</t>
  </si>
  <si>
    <t>Rwire1</t>
  </si>
  <si>
    <t>Vout + Iload*Rwire1</t>
  </si>
  <si>
    <t>Enter Circuit</t>
  </si>
  <si>
    <t>Calc overall gain (approx)</t>
  </si>
  <si>
    <t>Find gain and output</t>
  </si>
  <si>
    <t>Calc gain and output</t>
  </si>
  <si>
    <t>Enter input</t>
  </si>
  <si>
    <t>Calc Gains Pos and Neg</t>
  </si>
  <si>
    <t>Find Output</t>
  </si>
  <si>
    <t>Vsp</t>
  </si>
  <si>
    <t>Vsn</t>
  </si>
  <si>
    <t>(Vsp)*Kp + (Vsn)*Kn</t>
  </si>
  <si>
    <t xml:space="preserve">Enter inputs </t>
  </si>
  <si>
    <t>Enter feedback</t>
  </si>
  <si>
    <t xml:space="preserve">Calc Gains </t>
  </si>
  <si>
    <t>Calc output due to each input</t>
  </si>
  <si>
    <t>Sum outputs together</t>
  </si>
  <si>
    <t>Calc Vout</t>
  </si>
  <si>
    <t>Find currents in R1,C1</t>
  </si>
  <si>
    <t>Find currents in C1,R1</t>
  </si>
  <si>
    <t>I_C1 same current as resistor</t>
  </si>
  <si>
    <t>Calculate the cuttoff frequency</t>
  </si>
  <si>
    <t>Enter circuit (equal values for R, C and K=1)</t>
  </si>
  <si>
    <t>Enter input signal</t>
  </si>
  <si>
    <t>f (Hz)</t>
  </si>
  <si>
    <t>Calc approx attenuation of input signal</t>
  </si>
  <si>
    <t>Enter output voltage</t>
  </si>
  <si>
    <t>Calc feedback ratio</t>
  </si>
  <si>
    <t>Find osc frequency and period</t>
  </si>
  <si>
    <t>Amplifier - Twin-T Feedback</t>
  </si>
  <si>
    <t>Rth</t>
  </si>
  <si>
    <t>%/C</t>
  </si>
  <si>
    <t>Thermistor at 25 deg C</t>
  </si>
  <si>
    <t>Vcc*R4/(Rth+R4)*(R2/R1+1) - Vcc*R2/R1</t>
  </si>
  <si>
    <t>Rtempco</t>
  </si>
  <si>
    <t>Rth*(1 - Rtempco/100)</t>
  </si>
  <si>
    <t>Calc output at 25C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</si>
  <si>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Vo</t>
    </r>
  </si>
  <si>
    <r>
      <t>Enter thermistor tempco (</t>
    </r>
    <r>
      <rPr>
        <sz val="11"/>
        <color theme="1"/>
        <rFont val="Calibri"/>
        <family val="2"/>
      </rPr>
      <t>ΔR/ΔT)</t>
    </r>
  </si>
  <si>
    <t>Calc thermistor at 26C</t>
  </si>
  <si>
    <t>Rth'</t>
  </si>
  <si>
    <t>Vcc*R4/(Rth'+R4)*(R2/R1+1) - Vcc*R2/R1</t>
  </si>
  <si>
    <t>Calc temperature change</t>
  </si>
  <si>
    <t>ΔT</t>
  </si>
  <si>
    <r>
      <rPr>
        <sz val="11"/>
        <color theme="1"/>
        <rFont val="Calibri"/>
        <family val="2"/>
      </rPr>
      <t>S = Δ</t>
    </r>
    <r>
      <rPr>
        <sz val="11"/>
        <color theme="1"/>
        <rFont val="Calibri"/>
        <family val="2"/>
        <scheme val="minor"/>
      </rPr>
      <t>Vo/ΔT</t>
    </r>
  </si>
  <si>
    <t>Calc sensitivity - Vo change per degree (25 to 26C)</t>
  </si>
  <si>
    <t>Vo'</t>
  </si>
  <si>
    <t>Calc output at 26C</t>
  </si>
  <si>
    <t>(Vo' - Vo ) / 1 deg C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</si>
  <si>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Vo / S</t>
    </r>
  </si>
  <si>
    <t>Thermistor Preamp</t>
  </si>
  <si>
    <t>Enter voltage change measured after heat/cold applied to thermistor</t>
  </si>
  <si>
    <t>Is</t>
  </si>
  <si>
    <t>-Is*R2</t>
  </si>
  <si>
    <t>Enter offset circuit</t>
  </si>
  <si>
    <t>Enter signal and gain circuit</t>
  </si>
  <si>
    <t>Calc Signal Gain</t>
  </si>
  <si>
    <t>Ksig</t>
  </si>
  <si>
    <t>Vs*Ksig</t>
  </si>
  <si>
    <t>Vcc*R4/(R3+R4)</t>
  </si>
  <si>
    <t>Vo_DC</t>
  </si>
  <si>
    <t>Vo_AC</t>
  </si>
  <si>
    <t>Calc DC offset at output</t>
  </si>
  <si>
    <t xml:space="preserve">Calc AC signal output </t>
  </si>
  <si>
    <t>Calc gain from Vout to Va</t>
  </si>
  <si>
    <t>Choose R3 10x to 100x less than R2</t>
  </si>
  <si>
    <t>Kmult</t>
  </si>
  <si>
    <t>1/Katt (effective mutiplier of R2)</t>
  </si>
  <si>
    <t>-R2*Kmult /R1</t>
  </si>
  <si>
    <t>Katt = Va/Vout</t>
  </si>
  <si>
    <t>resistance of long wire</t>
  </si>
  <si>
    <t>Rwire2</t>
  </si>
  <si>
    <t>RV1</t>
  </si>
  <si>
    <t>C7</t>
  </si>
  <si>
    <t>Rtot</t>
  </si>
  <si>
    <t>R5</t>
  </si>
  <si>
    <t>Vs_max</t>
  </si>
  <si>
    <t>Vsqr * (RV1+R6) / (R5 + RV1 + R6)</t>
  </si>
  <si>
    <t>Vsqr * (R6) / (R5 + RV1 + R6)</t>
  </si>
  <si>
    <t>C6</t>
  </si>
  <si>
    <t>fc (Hz)</t>
  </si>
  <si>
    <t>RV1tap (full cw)</t>
  </si>
  <si>
    <t>R5 || (RV1+R6)</t>
  </si>
  <si>
    <t>R6</t>
  </si>
  <si>
    <t>Vsqr</t>
  </si>
  <si>
    <t>Calc Input High-Pass Filter</t>
  </si>
  <si>
    <t>Calc output Vs max and min</t>
  </si>
  <si>
    <t>Optional: Short if not used</t>
  </si>
  <si>
    <t>Optional: Open if not used</t>
  </si>
  <si>
    <t>Calc output</t>
  </si>
  <si>
    <t>Linear Regulator</t>
  </si>
  <si>
    <t>fsqr</t>
  </si>
  <si>
    <t>frequency of square wave</t>
  </si>
  <si>
    <t>Tsqr</t>
  </si>
  <si>
    <t>Choose R</t>
  </si>
  <si>
    <t>Calc C</t>
  </si>
  <si>
    <t>Choose Tau of Low-Pass Filter 5x to 10x longer than Tsqr</t>
  </si>
  <si>
    <t>Tau/R</t>
  </si>
  <si>
    <t>1/fsqr (period of square wave)</t>
  </si>
  <si>
    <t>amplitude of square wave</t>
  </si>
  <si>
    <t>Slope (V/s)</t>
  </si>
  <si>
    <t>Create Triangle wave from Square wave passed thru Low Pass Filter</t>
  </si>
  <si>
    <t>Calc slope of rising edge "triangle" of filter output</t>
  </si>
  <si>
    <t>Vsqr/2 *1/Tau</t>
  </si>
  <si>
    <t>Choose time interval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</si>
  <si>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T</t>
    </r>
  </si>
  <si>
    <t>Calc voltage change</t>
  </si>
  <si>
    <t>ΔV</t>
  </si>
  <si>
    <t>Slope*ΔT</t>
  </si>
  <si>
    <t>Enter input slope</t>
  </si>
  <si>
    <t>NOTE: Enter ΔV and ΔT for input slope at top.</t>
  </si>
  <si>
    <t>Enter signal</t>
  </si>
  <si>
    <t>Enter and R-divider</t>
  </si>
  <si>
    <t>Calc output Low-Pass Filter</t>
  </si>
  <si>
    <t>positive switching threshold</t>
  </si>
  <si>
    <t>negative switching threshold</t>
  </si>
  <si>
    <r>
      <t>fo = 1 / (2*pi*R*</t>
    </r>
    <r>
      <rPr>
        <sz val="12"/>
        <rFont val="Calibri"/>
        <family val="2"/>
        <scheme val="minor"/>
      </rPr>
      <t>C)</t>
    </r>
  </si>
  <si>
    <r>
      <t>fc = 1 / (2*pi*Rtot*</t>
    </r>
    <r>
      <rPr>
        <sz val="12"/>
        <rFont val="Calibri"/>
        <family val="2"/>
        <scheme val="minor"/>
      </rPr>
      <t>C6)</t>
    </r>
  </si>
  <si>
    <r>
      <t>fc = 1 / (2*pi*RV1tap*</t>
    </r>
    <r>
      <rPr>
        <sz val="12"/>
        <rFont val="Calibri"/>
        <family val="2"/>
        <scheme val="minor"/>
      </rPr>
      <t>C7)</t>
    </r>
  </si>
  <si>
    <t>R5+RV1+R6</t>
  </si>
  <si>
    <t>Vp</t>
  </si>
  <si>
    <t>Enter Schmidt trigger thresholds</t>
  </si>
  <si>
    <t>Calc hi and lo periods</t>
  </si>
  <si>
    <t>Calc total period and freq</t>
  </si>
  <si>
    <t>Supply</t>
  </si>
  <si>
    <r>
      <t>R*</t>
    </r>
    <r>
      <rPr>
        <sz val="12"/>
        <rFont val="Calibri"/>
        <family val="2"/>
        <scheme val="minor"/>
      </rPr>
      <t xml:space="preserve">C*ln[ Vn / Vp ] </t>
    </r>
  </si>
  <si>
    <r>
      <t>R*</t>
    </r>
    <r>
      <rPr>
        <sz val="12"/>
        <rFont val="Calibri"/>
        <family val="2"/>
        <scheme val="minor"/>
      </rPr>
      <t xml:space="preserve">C*ln[ (Vcc - Vn) / (Vcc - Vp) ] </t>
    </r>
  </si>
  <si>
    <t>Ro</t>
  </si>
  <si>
    <t>Co</t>
  </si>
  <si>
    <r>
      <t>fo = 1 / ( 2*Ro*</t>
    </r>
    <r>
      <rPr>
        <sz val="12"/>
        <rFont val="Calibri"/>
        <family val="2"/>
        <scheme val="minor"/>
      </rPr>
      <t>Co*ln[ (1 - B) /(1 + B) ]  )</t>
    </r>
  </si>
  <si>
    <t>Calc non-inverting gain: &gt;3 needed for osc</t>
  </si>
  <si>
    <t>Calc oscillation frequency and period</t>
  </si>
  <si>
    <t>R3,R4</t>
  </si>
  <si>
    <t>C3,C4</t>
  </si>
  <si>
    <t>Find K, R2 given vs, vo, R1</t>
  </si>
  <si>
    <t>Amplifier with Cstray</t>
  </si>
  <si>
    <t>PCB capacitance at U1 neg input</t>
  </si>
  <si>
    <t>Calc CC for matched Tau1 to Tau2</t>
  </si>
  <si>
    <t>LED Current Drive</t>
  </si>
  <si>
    <t>Op Amp Current Source</t>
  </si>
  <si>
    <t>Voltage Regulator</t>
  </si>
  <si>
    <t>NOTE:  Negligible voltage across Rwire2 because U1 input bias current relatively small.</t>
  </si>
  <si>
    <t>Comparator with Hysteresis</t>
  </si>
  <si>
    <t>Non-Inverting</t>
  </si>
  <si>
    <t>Low Battery (1.5V) Indicator</t>
  </si>
  <si>
    <t>Enter comparator output hi and lo</t>
  </si>
  <si>
    <t>Calc equivalent thresholds at vs</t>
  </si>
  <si>
    <t>Calc hysteresis</t>
  </si>
  <si>
    <t>Photodiode Preamp</t>
  </si>
  <si>
    <t>I-to-V Converter</t>
  </si>
  <si>
    <t>Current from photodiode D1 (connected reversed biased.)</t>
  </si>
  <si>
    <t>Capacitance to keep stable</t>
  </si>
  <si>
    <t>Single-Supply AC Amplifier</t>
  </si>
  <si>
    <t>Calc cutoff freq fc of C1, R1 input high-pass filter</t>
  </si>
  <si>
    <t>RC Schmitt Oscillator</t>
  </si>
  <si>
    <t>Signal Source - R-Divider</t>
  </si>
  <si>
    <t>RC Square-Wave Oscilator</t>
  </si>
  <si>
    <t>Summing Amplifier</t>
  </si>
  <si>
    <t>Inverting Amplifier</t>
  </si>
  <si>
    <t>Non-Inverting Amplifier</t>
  </si>
  <si>
    <t>Overview</t>
  </si>
  <si>
    <t>Cload</t>
  </si>
  <si>
    <t>Rout</t>
  </si>
  <si>
    <t>fu</t>
  </si>
  <si>
    <t>fp (Hz)</t>
  </si>
  <si>
    <t>Riso</t>
  </si>
  <si>
    <t>Enter load</t>
  </si>
  <si>
    <t>Enter op amp params</t>
  </si>
  <si>
    <t>Rf</t>
  </si>
  <si>
    <t>Cc</t>
  </si>
  <si>
    <t>Experimentally vary Cc to for acceptable waveform.</t>
  </si>
  <si>
    <t>NOTE: General rules of thumb below.</t>
  </si>
  <si>
    <t>output R</t>
  </si>
  <si>
    <t>unity-gain freq (GBWP)</t>
  </si>
  <si>
    <t>NOTE: These are rules of thumb only!</t>
  </si>
  <si>
    <t>Driving a Capacitive Load</t>
  </si>
  <si>
    <t>typically 20 to 100 ohms</t>
  </si>
  <si>
    <t>typically 1k to 20k</t>
  </si>
  <si>
    <t>fz (Hz)</t>
  </si>
  <si>
    <r>
      <t>fz ≈ 1 / (2*pi*Rf*</t>
    </r>
    <r>
      <rPr>
        <sz val="12"/>
        <rFont val="Calibri"/>
        <family val="2"/>
        <scheme val="minor"/>
      </rPr>
      <t>Cf)</t>
    </r>
  </si>
  <si>
    <r>
      <t>fp ≈ 1 / (2*pi*(Rout+Riso)*</t>
    </r>
    <r>
      <rPr>
        <sz val="12"/>
        <rFont val="Calibri"/>
        <family val="2"/>
        <scheme val="minor"/>
      </rPr>
      <t>Cload)</t>
    </r>
  </si>
  <si>
    <r>
      <t xml:space="preserve">Adjust Cc so that zero fz </t>
    </r>
    <r>
      <rPr>
        <sz val="11"/>
        <color theme="1"/>
        <rFont val="Calibri"/>
        <family val="2"/>
      </rPr>
      <t>≈</t>
    </r>
    <r>
      <rPr>
        <sz val="11"/>
        <color theme="1"/>
        <rFont val="Calibri"/>
        <family val="2"/>
        <scheme val="minor"/>
      </rPr>
      <t xml:space="preserve"> fp</t>
    </r>
  </si>
  <si>
    <t>Enter Isolation resistor so that pole fp &lt;&lt; fu</t>
  </si>
  <si>
    <t>Enter Rf ≈ 100 x Riso</t>
  </si>
  <si>
    <t>T_hi + T_lo</t>
  </si>
  <si>
    <t>T_hi</t>
  </si>
  <si>
    <t>T_lo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</si>
</sst>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00"/>
    <numFmt numFmtId="167" formatCode="0.0000"/>
    <numFmt numFmtId="168" formatCode="0.000E+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2.65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0" xfId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/>
    <xf numFmtId="0" fontId="0" fillId="2" borderId="0" xfId="0" applyFill="1"/>
    <xf numFmtId="164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quotePrefix="1"/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quotePrefix="1" applyAlignment="1">
      <alignment horizontal="left"/>
    </xf>
    <xf numFmtId="168" fontId="0" fillId="0" borderId="0" xfId="0" applyNumberForma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3" fontId="0" fillId="0" borderId="0" xfId="0" applyNumberFormat="1" applyAlignment="1">
      <alignment horizontal="center"/>
    </xf>
    <xf numFmtId="0" fontId="0" fillId="4" borderId="0" xfId="0" applyFill="1"/>
    <xf numFmtId="0" fontId="4" fillId="3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</cellXfs>
  <cellStyles count="3">
    <cellStyle name="Hyperlink" xfId="1" builtinId="8"/>
    <cellStyle name="Normal" xfId="0" builtinId="0"/>
    <cellStyle name="Normal 2" xfId="2" xr:uid="{0086DC6B-2426-4D5B-A113-426FE8408A0F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23786</xdr:colOff>
      <xdr:row>2</xdr:row>
      <xdr:rowOff>17457</xdr:rowOff>
    </xdr:from>
    <xdr:to>
      <xdr:col>6</xdr:col>
      <xdr:colOff>601869</xdr:colOff>
      <xdr:row>28</xdr:row>
      <xdr:rowOff>7470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065F57-1568-4457-ACCA-FBDAA3A0BE3E}"/>
            </a:ext>
          </a:extLst>
        </xdr:cNvPr>
        <xdr:cNvSpPr txBox="1"/>
      </xdr:nvSpPr>
      <xdr:spPr>
        <a:xfrm>
          <a:off x="23786" y="435810"/>
          <a:ext cx="4253612" cy="4845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i="1">
              <a:solidFill>
                <a:schemeClr val="accent5">
                  <a:lumMod val="75000"/>
                </a:schemeClr>
              </a:solidFill>
            </a:rPr>
            <a:t>Welcome</a:t>
          </a:r>
          <a:r>
            <a:rPr lang="en-US" sz="1400" b="1" i="1" baseline="0">
              <a:solidFill>
                <a:schemeClr val="accent5">
                  <a:lumMod val="75000"/>
                </a:schemeClr>
              </a:solidFill>
            </a:rPr>
            <a:t> to the Op Amp Design Calculator!</a:t>
          </a:r>
        </a:p>
        <a:p>
          <a:endParaRPr lang="en-US" sz="1100" baseline="0"/>
        </a:p>
        <a:p>
          <a:r>
            <a:rPr lang="en-US" sz="1100" baseline="0"/>
            <a:t>Here's a toolkit of </a:t>
          </a:r>
          <a:r>
            <a:rPr lang="en-US" sz="1100" b="1" i="1" baseline="0"/>
            <a:t>design and analysis </a:t>
          </a:r>
          <a:r>
            <a:rPr lang="en-US" sz="1100" baseline="0"/>
            <a:t>calculations created for</a:t>
          </a:r>
          <a:br>
            <a:rPr lang="en-US" sz="1100" baseline="0"/>
          </a:br>
          <a:r>
            <a:rPr lang="en-US" sz="1100" baseline="0"/>
            <a:t>the Op Amp Discovery Board.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- 20 Classic Op Amp Circuits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Quick calculations for hands-on learning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Handy circuit theory &amp; equation reference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 Apply, modify or customize as needed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Interactive Learning Tool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Change values, Predict outcome, Observe results</a:t>
          </a:r>
          <a:endParaRPr lang="en-US">
            <a:effectLst/>
          </a:endParaRPr>
        </a:p>
        <a:p>
          <a:endParaRPr lang="en-US" sz="1100" baseline="0"/>
        </a:p>
        <a:p>
          <a:endParaRPr lang="en-US" sz="1100" baseline="0"/>
        </a:p>
        <a:p>
          <a:pPr marL="0" indent="0"/>
          <a:r>
            <a:rPr lang="en-US" sz="1200" b="1" i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rPr>
            <a:t>Learn more about the Op Amp Discovery Board.</a:t>
          </a:r>
        </a:p>
        <a:p>
          <a:r>
            <a:rPr lang="en-US" sz="1100" i="1" baseline="0">
              <a:solidFill>
                <a:srgbClr val="7030A0"/>
              </a:solidFill>
            </a:rPr>
            <a:t>https://ecircuitcenter.com/op-amp-discovery/op-amp-discovery.html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Send a comment or question!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1" baseline="0">
              <a:solidFill>
                <a:srgbClr val="7030A0"/>
              </a:solidFill>
              <a:latin typeface="+mn-lt"/>
              <a:ea typeface="+mn-ea"/>
              <a:cs typeface="+mn-cs"/>
            </a:rPr>
            <a:t>https://ecircuitcenter.com/op-amp-discovery/form/feedback1.html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endParaRPr lang="en-US" sz="1100" i="1" baseline="0">
            <a:solidFill>
              <a:srgbClr val="7030A0"/>
            </a:solidFill>
          </a:endParaRPr>
        </a:p>
        <a:p>
          <a:endParaRPr lang="en-US" sz="1100" baseline="0"/>
        </a:p>
        <a:p>
          <a:endParaRPr lang="en-US" sz="1100"/>
        </a:p>
      </xdr:txBody>
    </xdr:sp>
    <xdr:clientData/>
  </xdr:twoCellAnchor>
  <xdr:twoCellAnchor editAs="oneCell">
    <xdr:from>
      <xdr:col>1</xdr:col>
      <xdr:colOff>292728</xdr:colOff>
      <xdr:row>6</xdr:row>
      <xdr:rowOff>174340</xdr:rowOff>
    </xdr:from>
    <xdr:to>
      <xdr:col>4</xdr:col>
      <xdr:colOff>119531</xdr:colOff>
      <xdr:row>12</xdr:row>
      <xdr:rowOff>172681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C437FD-1DEA-7BF7-A5BD-A7A1F2C1A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316" y="1339752"/>
          <a:ext cx="1664568" cy="11189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497192</xdr:colOff>
      <xdr:row>28</xdr:row>
      <xdr:rowOff>164353</xdr:rowOff>
    </xdr:from>
    <xdr:ext cx="1288277" cy="5027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171D04C-9B9A-49AF-BC14-3EE43CE638B3}"/>
                </a:ext>
              </a:extLst>
            </xdr:cNvPr>
            <xdr:cNvSpPr txBox="1"/>
          </xdr:nvSpPr>
          <xdr:spPr>
            <a:xfrm>
              <a:off x="3425663" y="5446059"/>
              <a:ext cx="1288277" cy="502702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91440" tIns="91440" rIns="91440" bIns="9144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sz="1100" b="0" i="0">
                        <a:latin typeface="Cambria Math" panose="02040503050406030204" pitchFamily="18" charset="0"/>
                      </a:rPr>
                      <m:t>f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𝑜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𝜋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171D04C-9B9A-49AF-BC14-3EE43CE638B3}"/>
                </a:ext>
              </a:extLst>
            </xdr:cNvPr>
            <xdr:cNvSpPr txBox="1"/>
          </xdr:nvSpPr>
          <xdr:spPr>
            <a:xfrm>
              <a:off x="3425663" y="5446059"/>
              <a:ext cx="1288277" cy="502702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91440" tIns="91440" rIns="91440" bIns="9144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f𝑜=  1/(2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∙𝑅∙</a:t>
              </a:r>
              <a:r>
                <a:rPr lang="en-US" sz="1100" b="0" i="0">
                  <a:latin typeface="Cambria Math" panose="02040503050406030204" pitchFamily="18" charset="0"/>
                </a:rPr>
                <a:t>𝐶)</a:t>
              </a:r>
              <a:endParaRPr lang="en-US" sz="1100"/>
            </a:p>
          </xdr:txBody>
        </xdr:sp>
      </mc:Fallback>
    </mc:AlternateContent>
    <xdr:clientData/>
  </xdr:oneCellAnchor>
  <xdr:twoCellAnchor editAs="oneCell">
    <xdr:from>
      <xdr:col>1</xdr:col>
      <xdr:colOff>14940</xdr:colOff>
      <xdr:row>4</xdr:row>
      <xdr:rowOff>82176</xdr:rowOff>
    </xdr:from>
    <xdr:to>
      <xdr:col>5</xdr:col>
      <xdr:colOff>284152</xdr:colOff>
      <xdr:row>19</xdr:row>
      <xdr:rowOff>164351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AE36A-7FA8-11DA-9AB4-1E0E64586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528" y="874058"/>
          <a:ext cx="2943683" cy="28911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4</xdr:row>
      <xdr:rowOff>12700</xdr:rowOff>
    </xdr:from>
    <xdr:to>
      <xdr:col>6</xdr:col>
      <xdr:colOff>196851</xdr:colOff>
      <xdr:row>14</xdr:row>
      <xdr:rowOff>61757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9C2A4E-4167-FE22-BC4E-685924043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1" y="800100"/>
          <a:ext cx="3302000" cy="189055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</xdr:colOff>
      <xdr:row>4</xdr:row>
      <xdr:rowOff>14941</xdr:rowOff>
    </xdr:from>
    <xdr:to>
      <xdr:col>5</xdr:col>
      <xdr:colOff>222267</xdr:colOff>
      <xdr:row>16</xdr:row>
      <xdr:rowOff>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938C29-3F4C-8034-51E0-15BACBCCB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646" y="806823"/>
          <a:ext cx="2881797" cy="223370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</xdr:row>
      <xdr:rowOff>19051</xdr:rowOff>
    </xdr:from>
    <xdr:to>
      <xdr:col>4</xdr:col>
      <xdr:colOff>571500</xdr:colOff>
      <xdr:row>14</xdr:row>
      <xdr:rowOff>145587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67E914-C062-5048-408B-E6613C6FA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" y="806451"/>
          <a:ext cx="2451100" cy="196803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52294</xdr:colOff>
      <xdr:row>4</xdr:row>
      <xdr:rowOff>29882</xdr:rowOff>
    </xdr:from>
    <xdr:to>
      <xdr:col>5</xdr:col>
      <xdr:colOff>367911</xdr:colOff>
      <xdr:row>14</xdr:row>
      <xdr:rowOff>134471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D590BE-87D3-1236-7318-B186D7B1B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941" y="821764"/>
          <a:ext cx="2818264" cy="197223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4</xdr:row>
      <xdr:rowOff>7471</xdr:rowOff>
    </xdr:from>
    <xdr:to>
      <xdr:col>5</xdr:col>
      <xdr:colOff>351921</xdr:colOff>
      <xdr:row>14</xdr:row>
      <xdr:rowOff>134471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028D85-F6C8-B165-AB3C-6BC34E5A3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9" y="799353"/>
          <a:ext cx="2832156" cy="199464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4</xdr:row>
      <xdr:rowOff>0</xdr:rowOff>
    </xdr:from>
    <xdr:to>
      <xdr:col>6</xdr:col>
      <xdr:colOff>201707</xdr:colOff>
      <xdr:row>14</xdr:row>
      <xdr:rowOff>85379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8A0186-6F41-C591-D3A6-80C794B2F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0" y="791882"/>
          <a:ext cx="3316942" cy="195302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494811</xdr:colOff>
      <xdr:row>24</xdr:row>
      <xdr:rowOff>123582</xdr:rowOff>
    </xdr:from>
    <xdr:ext cx="3308839" cy="5492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D18C2E2-0218-4D56-807C-8862A92C4F5C}"/>
                </a:ext>
              </a:extLst>
            </xdr:cNvPr>
            <xdr:cNvSpPr txBox="1"/>
          </xdr:nvSpPr>
          <xdr:spPr>
            <a:xfrm>
              <a:off x="4476261" y="4409832"/>
              <a:ext cx="3308839" cy="54924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𝑉𝑜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𝑉𝑐𝑐</m:t>
                    </m:r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d>
                      <m:d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4</m:t>
                            </m:r>
                          </m:num>
                          <m:den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𝑅𝑡h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4</m:t>
                            </m:r>
                          </m:den>
                        </m:f>
                      </m:e>
                    </m:d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d>
                      <m:d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num>
                          <m:den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den>
                        </m:f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+1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𝑉𝑐𝑐</m:t>
                    </m:r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f>
                      <m:f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den>
                    </m:f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D18C2E2-0218-4D56-807C-8862A92C4F5C}"/>
                </a:ext>
              </a:extLst>
            </xdr:cNvPr>
            <xdr:cNvSpPr txBox="1"/>
          </xdr:nvSpPr>
          <xdr:spPr>
            <a:xfrm>
              <a:off x="4476261" y="4409832"/>
              <a:ext cx="3308839" cy="54924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𝑉𝑜=𝑉𝑐𝑐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∙(𝑅4/(𝑅𝑡ℎ+𝑅4))∙(𝑅2/𝑅1+1)</a:t>
              </a:r>
              <a:r>
                <a:rPr lang="en-US" sz="1200" b="0" i="0">
                  <a:latin typeface="Cambria Math" panose="02040503050406030204" pitchFamily="18" charset="0"/>
                </a:rPr>
                <a:t>−𝑉𝑐𝑐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∙𝑅2/𝑅1 </a:t>
              </a:r>
              <a:r>
                <a:rPr lang="en-US" sz="1200" b="0" i="0">
                  <a:latin typeface="Cambria Math" panose="02040503050406030204" pitchFamily="18" charset="0"/>
                </a:rPr>
                <a:t> </a:t>
              </a:r>
              <a:endParaRPr lang="en-US" sz="1200"/>
            </a:p>
          </xdr:txBody>
        </xdr:sp>
      </mc:Fallback>
    </mc:AlternateContent>
    <xdr:clientData/>
  </xdr:oneCellAnchor>
  <xdr:twoCellAnchor editAs="oneCell">
    <xdr:from>
      <xdr:col>1</xdr:col>
      <xdr:colOff>76200</xdr:colOff>
      <xdr:row>4</xdr:row>
      <xdr:rowOff>32499</xdr:rowOff>
    </xdr:from>
    <xdr:to>
      <xdr:col>5</xdr:col>
      <xdr:colOff>304353</xdr:colOff>
      <xdr:row>14</xdr:row>
      <xdr:rowOff>89647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1299AE-0997-5A64-9E0F-44A62D076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847" y="824381"/>
          <a:ext cx="2730800" cy="192479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67235</xdr:colOff>
      <xdr:row>4</xdr:row>
      <xdr:rowOff>44823</xdr:rowOff>
    </xdr:from>
    <xdr:to>
      <xdr:col>6</xdr:col>
      <xdr:colOff>250713</xdr:colOff>
      <xdr:row>15</xdr:row>
      <xdr:rowOff>164353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69BF6D-102E-5C95-B240-FA9D2F90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836705"/>
          <a:ext cx="3246419" cy="217394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4</xdr:row>
      <xdr:rowOff>0</xdr:rowOff>
    </xdr:from>
    <xdr:to>
      <xdr:col>5</xdr:col>
      <xdr:colOff>466724</xdr:colOff>
      <xdr:row>15</xdr:row>
      <xdr:rowOff>14941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7A6A98-326A-3B5B-FFBB-027EC5B49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648" y="791882"/>
          <a:ext cx="2969370" cy="20693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33130</xdr:colOff>
      <xdr:row>4</xdr:row>
      <xdr:rowOff>11044</xdr:rowOff>
    </xdr:from>
    <xdr:to>
      <xdr:col>3</xdr:col>
      <xdr:colOff>579782</xdr:colOff>
      <xdr:row>13</xdr:row>
      <xdr:rowOff>149645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9E0D4D-E6EF-1C47-A426-516BE8DC1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478" y="795131"/>
          <a:ext cx="1833217" cy="177855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44824</xdr:colOff>
      <xdr:row>4</xdr:row>
      <xdr:rowOff>82176</xdr:rowOff>
    </xdr:from>
    <xdr:to>
      <xdr:col>6</xdr:col>
      <xdr:colOff>373530</xdr:colOff>
      <xdr:row>15</xdr:row>
      <xdr:rowOff>48993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CBB61D-04A1-86DA-2CE9-B4CB0A264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471" y="874058"/>
          <a:ext cx="3518647" cy="202122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</xdr:colOff>
      <xdr:row>4</xdr:row>
      <xdr:rowOff>22411</xdr:rowOff>
    </xdr:from>
    <xdr:to>
      <xdr:col>5</xdr:col>
      <xdr:colOff>552823</xdr:colOff>
      <xdr:row>15</xdr:row>
      <xdr:rowOff>6314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46BC29-4BDA-5AB4-8E0A-5B5CCC21A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470" y="814293"/>
          <a:ext cx="3085353" cy="203831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4</xdr:row>
      <xdr:rowOff>31750</xdr:rowOff>
    </xdr:from>
    <xdr:to>
      <xdr:col>3</xdr:col>
      <xdr:colOff>501650</xdr:colOff>
      <xdr:row>14</xdr:row>
      <xdr:rowOff>130865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F9983F-D973-8E0B-9680-E74AD689C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819150"/>
          <a:ext cx="1803400" cy="194061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386212</xdr:colOff>
      <xdr:row>6</xdr:row>
      <xdr:rowOff>41258</xdr:rowOff>
    </xdr:from>
    <xdr:ext cx="1794227" cy="5492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BFBAECC-896D-4B76-89E4-BA8095D11AB2}"/>
                </a:ext>
              </a:extLst>
            </xdr:cNvPr>
            <xdr:cNvSpPr txBox="1"/>
          </xdr:nvSpPr>
          <xdr:spPr>
            <a:xfrm>
              <a:off x="3075624" y="1206670"/>
              <a:ext cx="1794227" cy="54924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𝑉𝑜𝑢𝑡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𝑉𝑟𝑒𝑓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𝑅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2+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𝑅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𝑅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</m:t>
                        </m:r>
                      </m:den>
                    </m:f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BFBAECC-896D-4B76-89E4-BA8095D11AB2}"/>
                </a:ext>
              </a:extLst>
            </xdr:cNvPr>
            <xdr:cNvSpPr txBox="1"/>
          </xdr:nvSpPr>
          <xdr:spPr>
            <a:xfrm>
              <a:off x="3075624" y="1206670"/>
              <a:ext cx="1794227" cy="54924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𝑉𝑜𝑢𝑡=𝑉𝑟𝑒𝑓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en-US" sz="1200" b="0" i="0">
                  <a:latin typeface="Cambria Math" panose="02040503050406030204" pitchFamily="18" charset="0"/>
                </a:rPr>
                <a:t>(𝑅2+𝑅1)/𝑅1</a:t>
              </a:r>
              <a:endParaRPr lang="en-US" sz="1200"/>
            </a:p>
          </xdr:txBody>
        </xdr:sp>
      </mc:Fallback>
    </mc:AlternateContent>
    <xdr:clientData/>
  </xdr:oneCellAnchor>
  <xdr:twoCellAnchor editAs="oneCell">
    <xdr:from>
      <xdr:col>1</xdr:col>
      <xdr:colOff>38102</xdr:colOff>
      <xdr:row>4</xdr:row>
      <xdr:rowOff>31750</xdr:rowOff>
    </xdr:from>
    <xdr:to>
      <xdr:col>4</xdr:col>
      <xdr:colOff>86026</xdr:colOff>
      <xdr:row>13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09BCD1-E0A9-AB7E-FBB4-478A6DB38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2" y="819150"/>
          <a:ext cx="1895774" cy="17526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6351</xdr:colOff>
      <xdr:row>21</xdr:row>
      <xdr:rowOff>25400</xdr:rowOff>
    </xdr:from>
    <xdr:ext cx="2546350" cy="5492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AF8F059-02D4-43BE-B825-14623968D759}"/>
                </a:ext>
              </a:extLst>
            </xdr:cNvPr>
            <xdr:cNvSpPr txBox="1"/>
          </xdr:nvSpPr>
          <xdr:spPr>
            <a:xfrm>
              <a:off x="3975101" y="4140200"/>
              <a:ext cx="2546350" cy="54924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_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h𝑖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𝑙𝑛</m:t>
                    </m:r>
                    <m:d>
                      <m:d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𝑉𝑐𝑐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𝑉𝑛</m:t>
                            </m:r>
                          </m:num>
                          <m:den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𝑉𝑐𝑐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𝑉𝑝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AF8F059-02D4-43BE-B825-14623968D759}"/>
                </a:ext>
              </a:extLst>
            </xdr:cNvPr>
            <xdr:cNvSpPr txBox="1"/>
          </xdr:nvSpPr>
          <xdr:spPr>
            <a:xfrm>
              <a:off x="3975101" y="4140200"/>
              <a:ext cx="2546350" cy="54924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𝑇_ℎ𝑖=𝑅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∙𝐶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∙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𝑙𝑛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((𝑉𝑐𝑐−𝑉𝑛)/(𝑉𝑐𝑐−𝑉𝑝))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6</xdr:col>
      <xdr:colOff>57151</xdr:colOff>
      <xdr:row>25</xdr:row>
      <xdr:rowOff>19051</xdr:rowOff>
    </xdr:from>
    <xdr:ext cx="2546350" cy="4953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ABA89E9-6770-F52B-401B-495E2254B9CB}"/>
                </a:ext>
              </a:extLst>
            </xdr:cNvPr>
            <xdr:cNvSpPr txBox="1"/>
          </xdr:nvSpPr>
          <xdr:spPr>
            <a:xfrm>
              <a:off x="4025901" y="4870451"/>
              <a:ext cx="2546350" cy="495300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_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𝑙𝑜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𝑙𝑛</m:t>
                    </m:r>
                    <m:d>
                      <m:d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𝑉𝑝</m:t>
                            </m:r>
                          </m:num>
                          <m:den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𝑉𝑛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ABA89E9-6770-F52B-401B-495E2254B9CB}"/>
                </a:ext>
              </a:extLst>
            </xdr:cNvPr>
            <xdr:cNvSpPr txBox="1"/>
          </xdr:nvSpPr>
          <xdr:spPr>
            <a:xfrm>
              <a:off x="4025901" y="4870451"/>
              <a:ext cx="2546350" cy="495300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𝑇_𝑙𝑜=𝑅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∙𝐶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∙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𝑙𝑛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(𝑉𝑝/𝑉𝑛)</a:t>
              </a:r>
              <a:endParaRPr lang="en-US" sz="1200"/>
            </a:p>
          </xdr:txBody>
        </xdr:sp>
      </mc:Fallback>
    </mc:AlternateContent>
    <xdr:clientData/>
  </xdr:oneCellAnchor>
  <xdr:twoCellAnchor editAs="oneCell">
    <xdr:from>
      <xdr:col>1</xdr:col>
      <xdr:colOff>31750</xdr:colOff>
      <xdr:row>3</xdr:row>
      <xdr:rowOff>63501</xdr:rowOff>
    </xdr:from>
    <xdr:to>
      <xdr:col>3</xdr:col>
      <xdr:colOff>448235</xdr:colOff>
      <xdr:row>12</xdr:row>
      <xdr:rowOff>112799</xdr:rowOff>
    </xdr:to>
    <xdr:pic>
      <xdr:nvPicPr>
        <xdr:cNvPr id="6" name="Picture 5" descr="What is Schmitt Trigger, How it Works and Applications">
          <a:extLst>
            <a:ext uri="{FF2B5EF4-FFF2-40B4-BE49-F238E27FC236}">
              <a16:creationId xmlns:a16="http://schemas.microsoft.com/office/drawing/2014/main" id="{43E8E675-A6A0-93D2-F53D-3779F366C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515" y="668619"/>
          <a:ext cx="1865779" cy="1737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4</xdr:row>
      <xdr:rowOff>89648</xdr:rowOff>
    </xdr:from>
    <xdr:to>
      <xdr:col>5</xdr:col>
      <xdr:colOff>358590</xdr:colOff>
      <xdr:row>12</xdr:row>
      <xdr:rowOff>93670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107EC2-14A0-4537-77E1-0E5E555D4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472" y="881530"/>
          <a:ext cx="2816412" cy="1498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590061</xdr:colOff>
      <xdr:row>25</xdr:row>
      <xdr:rowOff>104532</xdr:rowOff>
    </xdr:from>
    <xdr:ext cx="1794227" cy="5492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44BC891-68EE-4F6C-8D49-0B22E60E50CA}"/>
                </a:ext>
              </a:extLst>
            </xdr:cNvPr>
            <xdr:cNvSpPr txBox="1"/>
          </xdr:nvSpPr>
          <xdr:spPr>
            <a:xfrm>
              <a:off x="3896478" y="4418115"/>
              <a:ext cx="1794227" cy="54924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𝐾𝑝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3+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</m:t>
                        </m:r>
                      </m:den>
                    </m:f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𝑅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2+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𝑅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𝑅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</m:t>
                        </m:r>
                      </m:den>
                    </m:f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44BC891-68EE-4F6C-8D49-0B22E60E50CA}"/>
                </a:ext>
              </a:extLst>
            </xdr:cNvPr>
            <xdr:cNvSpPr txBox="1"/>
          </xdr:nvSpPr>
          <xdr:spPr>
            <a:xfrm>
              <a:off x="3896478" y="4418115"/>
              <a:ext cx="1794227" cy="54924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𝐾𝑝=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𝑅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/(𝑅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3+𝑅4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en-US" sz="1200" b="0" i="0">
                  <a:latin typeface="Cambria Math" panose="02040503050406030204" pitchFamily="18" charset="0"/>
                </a:rPr>
                <a:t>(𝑅2+𝑅1)/𝑅1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6</xdr:col>
      <xdr:colOff>20217</xdr:colOff>
      <xdr:row>29</xdr:row>
      <xdr:rowOff>84655</xdr:rowOff>
    </xdr:from>
    <xdr:ext cx="1794227" cy="5492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C4DCAE5-77EF-BFE8-F591-629E8C0CA262}"/>
                </a:ext>
              </a:extLst>
            </xdr:cNvPr>
            <xdr:cNvSpPr txBox="1"/>
          </xdr:nvSpPr>
          <xdr:spPr>
            <a:xfrm>
              <a:off x="3929608" y="5140359"/>
              <a:ext cx="1794227" cy="54924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𝐾𝑛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=−</m:t>
                    </m:r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num>
                      <m:den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den>
                    </m:f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C4DCAE5-77EF-BFE8-F591-629E8C0CA262}"/>
                </a:ext>
              </a:extLst>
            </xdr:cNvPr>
            <xdr:cNvSpPr txBox="1"/>
          </xdr:nvSpPr>
          <xdr:spPr>
            <a:xfrm>
              <a:off x="3929608" y="5140359"/>
              <a:ext cx="1794227" cy="54924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𝐾𝑛=−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𝑅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/𝑅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endParaRPr lang="en-US" sz="1200"/>
            </a:p>
          </xdr:txBody>
        </xdr:sp>
      </mc:Fallback>
    </mc:AlternateContent>
    <xdr:clientData/>
  </xdr:oneCellAnchor>
  <xdr:twoCellAnchor editAs="oneCell">
    <xdr:from>
      <xdr:col>1</xdr:col>
      <xdr:colOff>31750</xdr:colOff>
      <xdr:row>4</xdr:row>
      <xdr:rowOff>95250</xdr:rowOff>
    </xdr:from>
    <xdr:to>
      <xdr:col>4</xdr:col>
      <xdr:colOff>460487</xdr:colOff>
      <xdr:row>14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45D043-20E0-4250-785B-95AC2DC71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550" y="882650"/>
          <a:ext cx="2327387" cy="1879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4</xdr:row>
      <xdr:rowOff>12701</xdr:rowOff>
    </xdr:from>
    <xdr:to>
      <xdr:col>5</xdr:col>
      <xdr:colOff>584200</xdr:colOff>
      <xdr:row>13</xdr:row>
      <xdr:rowOff>164175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6F1010-2E37-E59B-FEEB-6E241C0B6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800101"/>
          <a:ext cx="3073400" cy="18088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600809</xdr:colOff>
      <xdr:row>14</xdr:row>
      <xdr:rowOff>141654</xdr:rowOff>
    </xdr:from>
    <xdr:ext cx="1794565" cy="6486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380AFBC-F3B4-4C1A-9403-D1F7C4E13EC2}"/>
                </a:ext>
              </a:extLst>
            </xdr:cNvPr>
            <xdr:cNvSpPr txBox="1"/>
          </xdr:nvSpPr>
          <xdr:spPr>
            <a:xfrm>
              <a:off x="3350847" y="2603500"/>
              <a:ext cx="1794565" cy="64863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∆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𝑉𝑜𝑢𝑡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=−</m:t>
                    </m:r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den>
                    </m:f>
                    <m:nary>
                      <m:naryPr>
                        <m:limLoc m:val="undOvr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4"/>
                          </m:rPr>
                          <a:rPr lang="en-US" sz="12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sup>
                      <m:e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e>
                    </m:nary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𝑑𝑡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380AFBC-F3B4-4C1A-9403-D1F7C4E13EC2}"/>
                </a:ext>
              </a:extLst>
            </xdr:cNvPr>
            <xdr:cNvSpPr txBox="1"/>
          </xdr:nvSpPr>
          <xdr:spPr>
            <a:xfrm>
              <a:off x="3350847" y="2603500"/>
              <a:ext cx="1794565" cy="64863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∆</a:t>
              </a:r>
              <a:r>
                <a:rPr lang="en-US" sz="1200" b="0" i="0">
                  <a:latin typeface="Cambria Math" panose="02040503050406030204" pitchFamily="18" charset="0"/>
                </a:rPr>
                <a:t>𝑉𝑜𝑢𝑡=−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1/𝐶1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200" b="0" i="0">
                  <a:latin typeface="Cambria Math" panose="02040503050406030204" pitchFamily="18" charset="0"/>
                </a:rPr>
                <a:t>∫1_0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^∆𝑡▒𝐼_𝐶1 ∙𝑑𝑡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4</xdr:col>
      <xdr:colOff>592738</xdr:colOff>
      <xdr:row>18</xdr:row>
      <xdr:rowOff>42050</xdr:rowOff>
    </xdr:from>
    <xdr:ext cx="3191565" cy="6486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35916D80-CE9B-4FBF-B498-71BC78FCD98C}"/>
                </a:ext>
              </a:extLst>
            </xdr:cNvPr>
            <xdr:cNvSpPr txBox="1"/>
          </xdr:nvSpPr>
          <xdr:spPr>
            <a:xfrm>
              <a:off x="3342776" y="3270781"/>
              <a:ext cx="3191565" cy="64863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∆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𝑉𝑜𝑢𝑡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=−</m:t>
                    </m:r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den>
                    </m:f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∙∆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 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𝑓𝑜𝑟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𝑓𝑖𝑥𝑒𝑑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𝐷𝐶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𝑖𝑛𝑝𝑢𝑡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35916D80-CE9B-4FBF-B498-71BC78FCD98C}"/>
                </a:ext>
              </a:extLst>
            </xdr:cNvPr>
            <xdr:cNvSpPr txBox="1"/>
          </xdr:nvSpPr>
          <xdr:spPr>
            <a:xfrm>
              <a:off x="3342776" y="3270781"/>
              <a:ext cx="3191565" cy="64863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∆</a:t>
              </a:r>
              <a:r>
                <a:rPr lang="en-US" sz="1200" b="0" i="0">
                  <a:latin typeface="Cambria Math" panose="02040503050406030204" pitchFamily="18" charset="0"/>
                </a:rPr>
                <a:t>𝑉𝑜𝑢𝑡=−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1/𝐶1 〖∙𝐼〗_𝐶1∙∆𝑡    𝑓𝑜𝑟 𝑎 𝑓𝑖𝑥𝑒𝑑 𝐷𝐶 𝑖𝑛𝑝𝑢𝑡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4</xdr:col>
      <xdr:colOff>609643</xdr:colOff>
      <xdr:row>25</xdr:row>
      <xdr:rowOff>34321</xdr:rowOff>
    </xdr:from>
    <xdr:ext cx="3191565" cy="6486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9C00EC71-5F22-4052-6801-79B94C5B8515}"/>
                </a:ext>
              </a:extLst>
            </xdr:cNvPr>
            <xdr:cNvSpPr txBox="1"/>
          </xdr:nvSpPr>
          <xdr:spPr>
            <a:xfrm>
              <a:off x="3359681" y="4005513"/>
              <a:ext cx="3191565" cy="64863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∆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𝑉𝑜𝑢𝑡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=−</m:t>
                    </m:r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den>
                    </m:f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𝑉𝑖𝑛</m:t>
                        </m:r>
                      </m:num>
                      <m:den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den>
                    </m:f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∙∆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 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𝑓𝑜𝑟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𝑓𝑖𝑥𝑒𝑑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𝐷𝐶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𝑖𝑛𝑝𝑢𝑡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9C00EC71-5F22-4052-6801-79B94C5B8515}"/>
                </a:ext>
              </a:extLst>
            </xdr:cNvPr>
            <xdr:cNvSpPr txBox="1"/>
          </xdr:nvSpPr>
          <xdr:spPr>
            <a:xfrm>
              <a:off x="3359681" y="4005513"/>
              <a:ext cx="3191565" cy="64863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∆</a:t>
              </a:r>
              <a:r>
                <a:rPr lang="en-US" sz="1200" b="0" i="0">
                  <a:latin typeface="Cambria Math" panose="02040503050406030204" pitchFamily="18" charset="0"/>
                </a:rPr>
                <a:t>𝑉𝑜𝑢𝑡=−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1/𝐶1  𝑉𝑖𝑛/𝑅1∙∆𝑡    𝑓𝑜𝑟 𝑎 𝑓𝑖𝑥𝑒𝑑 𝐷𝐶 𝑖𝑛𝑝𝑢𝑡</a:t>
              </a:r>
              <a:endParaRPr lang="en-US" sz="1200"/>
            </a:p>
          </xdr:txBody>
        </xdr:sp>
      </mc:Fallback>
    </mc:AlternateContent>
    <xdr:clientData/>
  </xdr:oneCellAnchor>
  <xdr:twoCellAnchor editAs="oneCell">
    <xdr:from>
      <xdr:col>1</xdr:col>
      <xdr:colOff>22412</xdr:colOff>
      <xdr:row>4</xdr:row>
      <xdr:rowOff>9601</xdr:rowOff>
    </xdr:from>
    <xdr:to>
      <xdr:col>7</xdr:col>
      <xdr:colOff>263712</xdr:colOff>
      <xdr:row>12</xdr:row>
      <xdr:rowOff>32263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FF2D2B-FB71-220F-7EC5-3D25D9478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9" y="801483"/>
          <a:ext cx="3969124" cy="15167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600809</xdr:colOff>
      <xdr:row>14</xdr:row>
      <xdr:rowOff>141654</xdr:rowOff>
    </xdr:from>
    <xdr:ext cx="1977843" cy="6486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FB1CCBC-139D-4F36-BAA3-65E326CC86A7}"/>
                </a:ext>
              </a:extLst>
            </xdr:cNvPr>
            <xdr:cNvSpPr txBox="1"/>
          </xdr:nvSpPr>
          <xdr:spPr>
            <a:xfrm>
              <a:off x="3356157" y="2747915"/>
              <a:ext cx="1977843" cy="64863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𝑉𝑜𝑢𝑡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=−</m:t>
                    </m:r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𝑑𝑉𝑖𝑛</m:t>
                        </m:r>
                      </m:num>
                      <m:den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𝑑𝑡</m:t>
                        </m:r>
                      </m:den>
                    </m:f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1∙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𝑅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1 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FB1CCBC-139D-4F36-BAA3-65E326CC86A7}"/>
                </a:ext>
              </a:extLst>
            </xdr:cNvPr>
            <xdr:cNvSpPr txBox="1"/>
          </xdr:nvSpPr>
          <xdr:spPr>
            <a:xfrm>
              <a:off x="3356157" y="2747915"/>
              <a:ext cx="1977843" cy="64863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𝑉𝑜𝑢𝑡=−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𝑑𝑉𝑖𝑛/𝑑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𝑡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∙𝐶1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∙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𝑅1 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4</xdr:col>
      <xdr:colOff>582035</xdr:colOff>
      <xdr:row>19</xdr:row>
      <xdr:rowOff>40054</xdr:rowOff>
    </xdr:from>
    <xdr:ext cx="3358278" cy="6486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67006A44-ADAB-F485-488D-12551B6251FD}"/>
                </a:ext>
              </a:extLst>
            </xdr:cNvPr>
            <xdr:cNvSpPr txBox="1"/>
          </xdr:nvSpPr>
          <xdr:spPr>
            <a:xfrm>
              <a:off x="3337383" y="3402793"/>
              <a:ext cx="3358278" cy="64863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𝑉𝑜𝑢𝑡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=−</m:t>
                    </m:r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𝑉𝑖𝑛</m:t>
                        </m:r>
                      </m:num>
                      <m:den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den>
                    </m:f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1∙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𝑅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1   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𝑓𝑜𝑟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𝑓𝑖𝑥𝑒𝑑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𝑠𝑙𝑜𝑝𝑒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𝑖𝑛𝑝𝑢𝑡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67006A44-ADAB-F485-488D-12551B6251FD}"/>
                </a:ext>
              </a:extLst>
            </xdr:cNvPr>
            <xdr:cNvSpPr txBox="1"/>
          </xdr:nvSpPr>
          <xdr:spPr>
            <a:xfrm>
              <a:off x="3337383" y="3402793"/>
              <a:ext cx="3358278" cy="648633"/>
            </a:xfrm>
            <a:prstGeom prst="rect">
              <a:avLst/>
            </a:prstGeom>
            <a:solidFill>
              <a:schemeClr val="l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91440" tIns="91440" rIns="91440" bIns="91440" rtlCol="0" anchor="t">
              <a:no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𝑉𝑜𝑢𝑡=−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∆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𝑉𝑖𝑛/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∆𝑡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∙𝐶1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∙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𝑅1   𝑓𝑜𝑟 𝑎 𝑓𝑖𝑥𝑒𝑑 𝑠𝑙𝑜𝑝𝑒 𝑖𝑛𝑝𝑢𝑡</a:t>
              </a:r>
              <a:endParaRPr lang="en-US" sz="1200"/>
            </a:p>
          </xdr:txBody>
        </xdr:sp>
      </mc:Fallback>
    </mc:AlternateContent>
    <xdr:clientData/>
  </xdr:oneCellAnchor>
  <xdr:twoCellAnchor editAs="oneCell">
    <xdr:from>
      <xdr:col>1</xdr:col>
      <xdr:colOff>53562</xdr:colOff>
      <xdr:row>4</xdr:row>
      <xdr:rowOff>72334</xdr:rowOff>
    </xdr:from>
    <xdr:to>
      <xdr:col>7</xdr:col>
      <xdr:colOff>160949</xdr:colOff>
      <xdr:row>12</xdr:row>
      <xdr:rowOff>151571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D220F8F-5A19-2B59-BD53-4AF40ED9A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462" y="859734"/>
          <a:ext cx="4241237" cy="1552437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31</xdr:row>
      <xdr:rowOff>19050</xdr:rowOff>
    </xdr:from>
    <xdr:to>
      <xdr:col>14</xdr:col>
      <xdr:colOff>70747</xdr:colOff>
      <xdr:row>40</xdr:row>
      <xdr:rowOff>88438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2231BE-49D0-1A40-9283-CC88628A0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0550" y="5435600"/>
          <a:ext cx="4966597" cy="17267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37352</xdr:colOff>
      <xdr:row>4</xdr:row>
      <xdr:rowOff>29883</xdr:rowOff>
    </xdr:from>
    <xdr:to>
      <xdr:col>6</xdr:col>
      <xdr:colOff>74705</xdr:colOff>
      <xdr:row>14</xdr:row>
      <xdr:rowOff>147622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0F7DC0-3C58-CDC8-6866-3A8DE1690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117" y="821765"/>
          <a:ext cx="3414059" cy="19853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4</xdr:row>
      <xdr:rowOff>19050</xdr:rowOff>
    </xdr:from>
    <xdr:to>
      <xdr:col>4</xdr:col>
      <xdr:colOff>339400</xdr:colOff>
      <xdr:row>16</xdr:row>
      <xdr:rowOff>119530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165007-38AB-6FEF-56EB-5D899E371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915" y="810932"/>
          <a:ext cx="2344132" cy="2349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B08F5-9AF1-4772-8512-82873ABD6BEB}">
  <sheetPr>
    <tabColor rgb="FFFFFF66"/>
  </sheetPr>
  <dimension ref="A1"/>
  <sheetViews>
    <sheetView tabSelected="1" zoomScale="85" zoomScaleNormal="85" workbookViewId="0">
      <selection activeCell="E32" sqref="E32"/>
    </sheetView>
  </sheetViews>
  <sheetFormatPr defaultRowHeight="14.5" x14ac:dyDescent="0.35"/>
  <sheetData>
    <row r="1" spans="1:1" ht="18.5" x14ac:dyDescent="0.45">
      <c r="A1" s="8" t="s">
        <v>299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C85AB-A2C1-4B02-A55B-434429DDD375}">
  <dimension ref="A1:E32"/>
  <sheetViews>
    <sheetView zoomScale="85" zoomScaleNormal="85" workbookViewId="0">
      <selection activeCell="A4" sqref="A4"/>
    </sheetView>
  </sheetViews>
  <sheetFormatPr defaultRowHeight="14.5" x14ac:dyDescent="0.35"/>
  <cols>
    <col min="1" max="1" width="12.36328125" customWidth="1"/>
    <col min="2" max="2" width="12" customWidth="1"/>
  </cols>
  <sheetData>
    <row r="1" spans="1:5" ht="18.5" x14ac:dyDescent="0.45">
      <c r="A1" s="8" t="s">
        <v>62</v>
      </c>
    </row>
    <row r="2" spans="1:5" x14ac:dyDescent="0.35">
      <c r="A2" s="3"/>
      <c r="D2" s="9"/>
      <c r="E2" s="4" t="s">
        <v>8</v>
      </c>
    </row>
    <row r="3" spans="1:5" x14ac:dyDescent="0.35">
      <c r="D3" s="14"/>
      <c r="E3" s="10" t="s">
        <v>9</v>
      </c>
    </row>
    <row r="8" spans="1:5" ht="15.5" x14ac:dyDescent="0.35">
      <c r="B8" s="26"/>
    </row>
    <row r="10" spans="1:5" x14ac:dyDescent="0.35">
      <c r="B10" s="25"/>
    </row>
    <row r="21" spans="1:3" x14ac:dyDescent="0.35">
      <c r="A21" t="s">
        <v>113</v>
      </c>
    </row>
    <row r="22" spans="1:3" x14ac:dyDescent="0.35">
      <c r="A22" s="15" t="s">
        <v>0</v>
      </c>
      <c r="B22" s="11">
        <v>4700</v>
      </c>
      <c r="C22" s="4"/>
    </row>
    <row r="23" spans="1:3" x14ac:dyDescent="0.35">
      <c r="A23" s="15" t="s">
        <v>1</v>
      </c>
      <c r="B23" s="11">
        <v>10000</v>
      </c>
      <c r="C23" s="4"/>
    </row>
    <row r="24" spans="1:3" x14ac:dyDescent="0.35">
      <c r="A24" s="15" t="s">
        <v>10</v>
      </c>
      <c r="B24" s="11">
        <v>200000</v>
      </c>
      <c r="C24" s="4" t="s">
        <v>271</v>
      </c>
    </row>
    <row r="25" spans="1:3" x14ac:dyDescent="0.35">
      <c r="A25" s="15" t="s">
        <v>11</v>
      </c>
      <c r="B25" s="20">
        <v>9.9999999999999995E-7</v>
      </c>
      <c r="C25" s="4" t="s">
        <v>272</v>
      </c>
    </row>
    <row r="27" spans="1:3" x14ac:dyDescent="0.35">
      <c r="A27" s="4" t="s">
        <v>269</v>
      </c>
    </row>
    <row r="28" spans="1:3" x14ac:dyDescent="0.35">
      <c r="A28" s="16" t="s">
        <v>58</v>
      </c>
      <c r="B28" s="18">
        <f>(B22+B23)/B22</f>
        <v>3.1276595744680851</v>
      </c>
      <c r="C28" s="4" t="s">
        <v>59</v>
      </c>
    </row>
    <row r="30" spans="1:3" x14ac:dyDescent="0.35">
      <c r="A30" s="4" t="s">
        <v>270</v>
      </c>
    </row>
    <row r="31" spans="1:3" ht="15.5" x14ac:dyDescent="0.35">
      <c r="A31" s="16" t="s">
        <v>57</v>
      </c>
      <c r="B31" s="19">
        <f>1/(2*PI()*B24*B25)</f>
        <v>0.79577471545947687</v>
      </c>
      <c r="C31" s="4" t="s">
        <v>60</v>
      </c>
    </row>
    <row r="32" spans="1:3" x14ac:dyDescent="0.35">
      <c r="A32" s="16" t="s">
        <v>61</v>
      </c>
      <c r="B32" s="12">
        <f>1/B31</f>
        <v>1.256637061435917</v>
      </c>
      <c r="C32" s="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20E11-8E00-40B9-874C-E85476B89806}">
  <dimension ref="A1:F32"/>
  <sheetViews>
    <sheetView zoomScale="85" zoomScaleNormal="85" workbookViewId="0">
      <selection activeCell="G32" sqref="G32"/>
    </sheetView>
  </sheetViews>
  <sheetFormatPr defaultColWidth="8.81640625" defaultRowHeight="14.5" x14ac:dyDescent="0.35"/>
  <cols>
    <col min="1" max="1" width="12.1796875" style="1" customWidth="1"/>
    <col min="2" max="2" width="9.54296875" style="1" bestFit="1" customWidth="1"/>
    <col min="3" max="3" width="8.81640625" style="4"/>
    <col min="4" max="16384" width="8.81640625" style="1"/>
  </cols>
  <sheetData>
    <row r="1" spans="1:5" ht="18.5" x14ac:dyDescent="0.45">
      <c r="A1" s="2" t="s">
        <v>96</v>
      </c>
    </row>
    <row r="2" spans="1:5" x14ac:dyDescent="0.35">
      <c r="A2" s="3"/>
      <c r="D2" s="9"/>
      <c r="E2" s="4" t="s">
        <v>6</v>
      </c>
    </row>
    <row r="3" spans="1:5" x14ac:dyDescent="0.35">
      <c r="D3" s="14"/>
      <c r="E3" s="10" t="s">
        <v>7</v>
      </c>
    </row>
    <row r="4" spans="1:5" x14ac:dyDescent="0.35">
      <c r="D4" s="10"/>
      <c r="E4" s="10"/>
    </row>
    <row r="5" spans="1:5" x14ac:dyDescent="0.35">
      <c r="B5"/>
      <c r="D5" s="10"/>
      <c r="E5" s="10"/>
    </row>
    <row r="6" spans="1:5" x14ac:dyDescent="0.35">
      <c r="D6" s="10"/>
      <c r="E6" s="10"/>
    </row>
    <row r="7" spans="1:5" x14ac:dyDescent="0.35">
      <c r="D7" s="10"/>
      <c r="E7" s="10"/>
    </row>
    <row r="8" spans="1:5" x14ac:dyDescent="0.35">
      <c r="B8"/>
      <c r="D8" s="10"/>
      <c r="E8" s="10"/>
    </row>
    <row r="9" spans="1:5" x14ac:dyDescent="0.35">
      <c r="D9" s="10"/>
      <c r="E9" s="10"/>
    </row>
    <row r="10" spans="1:5" x14ac:dyDescent="0.35">
      <c r="D10" s="10"/>
      <c r="E10" s="10"/>
    </row>
    <row r="11" spans="1:5" x14ac:dyDescent="0.35">
      <c r="D11" s="10"/>
      <c r="E11" s="10"/>
    </row>
    <row r="12" spans="1:5" x14ac:dyDescent="0.35">
      <c r="D12" s="10"/>
      <c r="E12" s="10"/>
    </row>
    <row r="17" spans="1:6" x14ac:dyDescent="0.35">
      <c r="A17" s="4" t="s">
        <v>113</v>
      </c>
      <c r="E17"/>
    </row>
    <row r="18" spans="1:6" x14ac:dyDescent="0.35">
      <c r="A18" s="7" t="s">
        <v>83</v>
      </c>
      <c r="B18" s="6">
        <v>1</v>
      </c>
      <c r="F18"/>
    </row>
    <row r="19" spans="1:6" x14ac:dyDescent="0.35">
      <c r="A19" s="7" t="s">
        <v>0</v>
      </c>
      <c r="B19" s="27">
        <v>10000</v>
      </c>
      <c r="F19"/>
    </row>
    <row r="20" spans="1:6" x14ac:dyDescent="0.35">
      <c r="A20" s="7" t="s">
        <v>1</v>
      </c>
      <c r="B20" s="27">
        <v>20000</v>
      </c>
    </row>
    <row r="22" spans="1:6" x14ac:dyDescent="0.35">
      <c r="A22" s="4" t="s">
        <v>97</v>
      </c>
      <c r="E22"/>
    </row>
    <row r="23" spans="1:6" x14ac:dyDescent="0.35">
      <c r="A23" s="13" t="s">
        <v>16</v>
      </c>
      <c r="B23" s="18">
        <f>-B20/B19</f>
        <v>-2</v>
      </c>
      <c r="C23" s="22" t="s">
        <v>53</v>
      </c>
    </row>
    <row r="24" spans="1:6" x14ac:dyDescent="0.35">
      <c r="A24" s="13" t="s">
        <v>85</v>
      </c>
      <c r="B24" s="18">
        <f>B18*B23</f>
        <v>-2</v>
      </c>
      <c r="C24" s="4" t="s">
        <v>82</v>
      </c>
    </row>
    <row r="27" spans="1:6" x14ac:dyDescent="0.35">
      <c r="A27" s="4" t="s">
        <v>273</v>
      </c>
      <c r="E27"/>
    </row>
    <row r="28" spans="1:6" x14ac:dyDescent="0.35">
      <c r="A28" s="7" t="s">
        <v>83</v>
      </c>
      <c r="B28" s="6">
        <v>1</v>
      </c>
      <c r="F28"/>
    </row>
    <row r="29" spans="1:6" x14ac:dyDescent="0.35">
      <c r="A29" s="7" t="s">
        <v>85</v>
      </c>
      <c r="B29" s="18">
        <v>-10</v>
      </c>
      <c r="F29"/>
    </row>
    <row r="30" spans="1:6" x14ac:dyDescent="0.35">
      <c r="A30" s="7" t="s">
        <v>0</v>
      </c>
      <c r="B30" s="27">
        <v>1000</v>
      </c>
    </row>
    <row r="31" spans="1:6" x14ac:dyDescent="0.35">
      <c r="A31" s="13" t="s">
        <v>16</v>
      </c>
      <c r="B31" s="18">
        <f>B29/B28</f>
        <v>-10</v>
      </c>
      <c r="C31" s="4" t="s">
        <v>17</v>
      </c>
    </row>
    <row r="32" spans="1:6" x14ac:dyDescent="0.35">
      <c r="A32" s="13" t="s">
        <v>1</v>
      </c>
      <c r="B32" s="27">
        <f>-B30*B31</f>
        <v>10000</v>
      </c>
      <c r="C32" s="22" t="s">
        <v>84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96EC-198B-4DA5-A01D-4070E0372FF7}">
  <dimension ref="A1:F32"/>
  <sheetViews>
    <sheetView zoomScale="85" zoomScaleNormal="85" workbookViewId="0">
      <selection activeCell="I16" sqref="I16"/>
    </sheetView>
  </sheetViews>
  <sheetFormatPr defaultColWidth="8.81640625" defaultRowHeight="14.5" x14ac:dyDescent="0.35"/>
  <cols>
    <col min="1" max="1" width="11.81640625" style="1" customWidth="1"/>
    <col min="2" max="2" width="12.08984375" style="1" customWidth="1"/>
    <col min="3" max="3" width="8.81640625" style="4"/>
    <col min="4" max="16384" width="8.81640625" style="1"/>
  </cols>
  <sheetData>
    <row r="1" spans="1:5" ht="18.5" x14ac:dyDescent="0.45">
      <c r="A1" s="2" t="s">
        <v>274</v>
      </c>
    </row>
    <row r="2" spans="1:5" x14ac:dyDescent="0.35">
      <c r="A2" s="3"/>
      <c r="D2" s="9"/>
      <c r="E2" s="4" t="s">
        <v>6</v>
      </c>
    </row>
    <row r="3" spans="1:5" x14ac:dyDescent="0.35">
      <c r="D3" s="14"/>
      <c r="E3" s="10" t="s">
        <v>7</v>
      </c>
    </row>
    <row r="4" spans="1:5" x14ac:dyDescent="0.35">
      <c r="D4" s="10"/>
      <c r="E4" s="10"/>
    </row>
    <row r="5" spans="1:5" x14ac:dyDescent="0.35">
      <c r="D5" s="10"/>
      <c r="E5" s="10"/>
    </row>
    <row r="6" spans="1:5" x14ac:dyDescent="0.35">
      <c r="D6" s="10"/>
      <c r="E6" s="10"/>
    </row>
    <row r="7" spans="1:5" x14ac:dyDescent="0.35">
      <c r="D7" s="10"/>
      <c r="E7" s="10"/>
    </row>
    <row r="8" spans="1:5" x14ac:dyDescent="0.35">
      <c r="D8" s="10"/>
      <c r="E8" s="10"/>
    </row>
    <row r="9" spans="1:5" x14ac:dyDescent="0.35">
      <c r="D9" s="10"/>
      <c r="E9" s="10"/>
    </row>
    <row r="10" spans="1:5" x14ac:dyDescent="0.35">
      <c r="D10" s="10"/>
      <c r="E10" s="10"/>
    </row>
    <row r="11" spans="1:5" x14ac:dyDescent="0.35">
      <c r="D11" s="10"/>
      <c r="E11" s="10"/>
    </row>
    <row r="12" spans="1:5" x14ac:dyDescent="0.35">
      <c r="D12" s="10"/>
      <c r="E12" s="10"/>
    </row>
    <row r="13" spans="1:5" x14ac:dyDescent="0.35">
      <c r="D13" s="10"/>
      <c r="E13" s="10"/>
    </row>
    <row r="14" spans="1:5" x14ac:dyDescent="0.35">
      <c r="D14" s="10"/>
      <c r="E14" s="10"/>
    </row>
    <row r="17" spans="1:6" x14ac:dyDescent="0.35">
      <c r="A17" s="4" t="s">
        <v>113</v>
      </c>
      <c r="E17"/>
    </row>
    <row r="18" spans="1:6" x14ac:dyDescent="0.35">
      <c r="A18" s="7" t="s">
        <v>0</v>
      </c>
      <c r="B18" s="1">
        <v>470000</v>
      </c>
      <c r="F18"/>
    </row>
    <row r="19" spans="1:6" x14ac:dyDescent="0.35">
      <c r="A19" s="7" t="s">
        <v>99</v>
      </c>
      <c r="B19" s="20">
        <v>9.9999999999999994E-12</v>
      </c>
      <c r="C19" s="4" t="s">
        <v>275</v>
      </c>
    </row>
    <row r="21" spans="1:6" x14ac:dyDescent="0.35">
      <c r="A21" s="7" t="s">
        <v>1</v>
      </c>
      <c r="B21" s="1">
        <v>470000</v>
      </c>
      <c r="F21"/>
    </row>
    <row r="22" spans="1:6" x14ac:dyDescent="0.35">
      <c r="A22" s="7" t="s">
        <v>98</v>
      </c>
      <c r="B22" s="20">
        <v>9.9999999999999998E-13</v>
      </c>
      <c r="C22" s="4" t="s">
        <v>102</v>
      </c>
    </row>
    <row r="24" spans="1:6" x14ac:dyDescent="0.35">
      <c r="A24" s="4" t="s">
        <v>48</v>
      </c>
    </row>
    <row r="25" spans="1:6" x14ac:dyDescent="0.35">
      <c r="A25" s="13" t="s">
        <v>46</v>
      </c>
      <c r="B25" s="20">
        <f>B18*B19</f>
        <v>4.6999999999999999E-6</v>
      </c>
      <c r="C25" s="4" t="s">
        <v>100</v>
      </c>
    </row>
    <row r="26" spans="1:6" x14ac:dyDescent="0.35">
      <c r="A26" s="13" t="s">
        <v>47</v>
      </c>
      <c r="B26" s="20">
        <f>B21*B22</f>
        <v>4.7E-7</v>
      </c>
      <c r="C26" s="4" t="s">
        <v>101</v>
      </c>
    </row>
    <row r="30" spans="1:6" x14ac:dyDescent="0.35">
      <c r="A30" s="4" t="s">
        <v>276</v>
      </c>
    </row>
    <row r="31" spans="1:6" x14ac:dyDescent="0.35">
      <c r="A31" s="13" t="s">
        <v>103</v>
      </c>
      <c r="B31" s="20">
        <f>B21*B19/B18</f>
        <v>9.9999999999999994E-12</v>
      </c>
      <c r="C31" s="4" t="s">
        <v>104</v>
      </c>
    </row>
    <row r="32" spans="1:6" x14ac:dyDescent="0.35">
      <c r="B32" s="4" t="s">
        <v>105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DC34C-93EA-42C0-87D2-BD86A302F1FA}">
  <sheetPr codeName="Sheet24"/>
  <dimension ref="A1:F28"/>
  <sheetViews>
    <sheetView zoomScale="85" zoomScaleNormal="85" workbookViewId="0">
      <selection activeCell="H17" sqref="H17"/>
    </sheetView>
  </sheetViews>
  <sheetFormatPr defaultColWidth="8.81640625" defaultRowHeight="14.5" x14ac:dyDescent="0.35"/>
  <cols>
    <col min="1" max="1" width="12.1796875" style="1" customWidth="1"/>
    <col min="2" max="2" width="9.54296875" style="1" bestFit="1" customWidth="1"/>
    <col min="3" max="3" width="8.81640625" style="4"/>
    <col min="4" max="16384" width="8.81640625" style="1"/>
  </cols>
  <sheetData>
    <row r="1" spans="1:5" ht="18.5" x14ac:dyDescent="0.45">
      <c r="A1" s="2" t="s">
        <v>278</v>
      </c>
    </row>
    <row r="2" spans="1:5" x14ac:dyDescent="0.35">
      <c r="A2" s="24" t="s">
        <v>277</v>
      </c>
      <c r="D2" s="9"/>
      <c r="E2" s="4" t="s">
        <v>6</v>
      </c>
    </row>
    <row r="3" spans="1:5" x14ac:dyDescent="0.35">
      <c r="D3" s="14"/>
      <c r="E3" s="10" t="s">
        <v>7</v>
      </c>
    </row>
    <row r="4" spans="1:5" x14ac:dyDescent="0.35">
      <c r="D4" s="10"/>
      <c r="E4" s="10"/>
    </row>
    <row r="5" spans="1:5" x14ac:dyDescent="0.35">
      <c r="B5"/>
      <c r="D5" s="10"/>
      <c r="E5" s="10"/>
    </row>
    <row r="6" spans="1:5" x14ac:dyDescent="0.35">
      <c r="D6" s="10"/>
      <c r="E6" s="10"/>
    </row>
    <row r="7" spans="1:5" x14ac:dyDescent="0.35">
      <c r="D7" s="10"/>
      <c r="E7" s="10"/>
    </row>
    <row r="8" spans="1:5" x14ac:dyDescent="0.35">
      <c r="B8"/>
      <c r="D8" s="10"/>
      <c r="E8" s="10"/>
    </row>
    <row r="9" spans="1:5" x14ac:dyDescent="0.35">
      <c r="D9" s="10"/>
      <c r="E9" s="10"/>
    </row>
    <row r="10" spans="1:5" x14ac:dyDescent="0.35">
      <c r="D10" s="10"/>
      <c r="E10" s="10"/>
    </row>
    <row r="11" spans="1:5" x14ac:dyDescent="0.35">
      <c r="D11" s="10"/>
      <c r="E11" s="10"/>
    </row>
    <row r="12" spans="1:5" x14ac:dyDescent="0.35">
      <c r="D12" s="10"/>
      <c r="E12" s="10"/>
    </row>
    <row r="17" spans="1:6" x14ac:dyDescent="0.35">
      <c r="A17" s="4" t="s">
        <v>113</v>
      </c>
      <c r="E17"/>
    </row>
    <row r="18" spans="1:6" x14ac:dyDescent="0.35">
      <c r="A18" s="7" t="s">
        <v>72</v>
      </c>
      <c r="B18" s="6">
        <v>1</v>
      </c>
      <c r="F18"/>
    </row>
    <row r="19" spans="1:6" x14ac:dyDescent="0.35">
      <c r="A19" s="7" t="s">
        <v>106</v>
      </c>
      <c r="B19" s="1">
        <v>470</v>
      </c>
      <c r="F19"/>
    </row>
    <row r="21" spans="1:6" x14ac:dyDescent="0.35">
      <c r="A21" s="4" t="s">
        <v>45</v>
      </c>
      <c r="E21"/>
    </row>
    <row r="22" spans="1:6" x14ac:dyDescent="0.35">
      <c r="A22" s="13" t="s">
        <v>19</v>
      </c>
      <c r="B22" s="19">
        <f>B18/B19</f>
        <v>2.1276595744680851E-3</v>
      </c>
      <c r="C22" s="4" t="s">
        <v>107</v>
      </c>
    </row>
    <row r="24" spans="1:6" x14ac:dyDescent="0.35">
      <c r="A24" s="4" t="s">
        <v>108</v>
      </c>
    </row>
    <row r="25" spans="1:6" x14ac:dyDescent="0.35">
      <c r="A25" s="7" t="s">
        <v>109</v>
      </c>
      <c r="B25" s="6">
        <v>1.8</v>
      </c>
    </row>
    <row r="27" spans="1:6" x14ac:dyDescent="0.35">
      <c r="A27" s="4" t="s">
        <v>110</v>
      </c>
    </row>
    <row r="28" spans="1:6" x14ac:dyDescent="0.35">
      <c r="A28" s="13" t="s">
        <v>111</v>
      </c>
      <c r="B28" s="6">
        <f>B18+B25</f>
        <v>2.8</v>
      </c>
      <c r="C28" s="4" t="s">
        <v>112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039D1-0D50-4708-899F-C8D917C10856}">
  <dimension ref="A1:F32"/>
  <sheetViews>
    <sheetView zoomScale="85" zoomScaleNormal="85" workbookViewId="0">
      <selection activeCell="I14" sqref="I14"/>
    </sheetView>
  </sheetViews>
  <sheetFormatPr defaultColWidth="8.81640625" defaultRowHeight="14.5" x14ac:dyDescent="0.35"/>
  <cols>
    <col min="1" max="1" width="12.1796875" style="1" customWidth="1"/>
    <col min="2" max="2" width="9.54296875" style="1" bestFit="1" customWidth="1"/>
    <col min="3" max="3" width="8.81640625" style="4"/>
    <col min="4" max="16384" width="8.81640625" style="1"/>
  </cols>
  <sheetData>
    <row r="1" spans="1:5" ht="18.5" x14ac:dyDescent="0.45">
      <c r="A1" s="2" t="s">
        <v>279</v>
      </c>
    </row>
    <row r="2" spans="1:5" x14ac:dyDescent="0.35">
      <c r="A2" s="3"/>
      <c r="D2" s="9"/>
      <c r="E2" s="4" t="s">
        <v>6</v>
      </c>
    </row>
    <row r="3" spans="1:5" x14ac:dyDescent="0.35">
      <c r="D3" s="14"/>
      <c r="E3" s="10" t="s">
        <v>7</v>
      </c>
    </row>
    <row r="4" spans="1:5" x14ac:dyDescent="0.35">
      <c r="D4" s="10"/>
      <c r="E4" s="10"/>
    </row>
    <row r="5" spans="1:5" x14ac:dyDescent="0.35">
      <c r="B5"/>
      <c r="D5" s="10"/>
      <c r="E5" s="10"/>
    </row>
    <row r="6" spans="1:5" x14ac:dyDescent="0.35">
      <c r="D6" s="10"/>
      <c r="E6" s="10"/>
    </row>
    <row r="7" spans="1:5" x14ac:dyDescent="0.35">
      <c r="D7" s="10"/>
      <c r="E7" s="10"/>
    </row>
    <row r="8" spans="1:5" x14ac:dyDescent="0.35">
      <c r="B8"/>
      <c r="D8" s="10"/>
      <c r="E8" s="10"/>
    </row>
    <row r="9" spans="1:5" x14ac:dyDescent="0.35">
      <c r="D9" s="10"/>
      <c r="E9" s="10"/>
    </row>
    <row r="10" spans="1:5" x14ac:dyDescent="0.35">
      <c r="D10" s="10"/>
      <c r="E10" s="10"/>
    </row>
    <row r="11" spans="1:5" x14ac:dyDescent="0.35">
      <c r="D11" s="10"/>
      <c r="E11" s="10"/>
    </row>
    <row r="12" spans="1:5" x14ac:dyDescent="0.35">
      <c r="D12" s="10"/>
      <c r="E12" s="10"/>
    </row>
    <row r="17" spans="1:6" x14ac:dyDescent="0.35">
      <c r="A17" s="4" t="s">
        <v>113</v>
      </c>
      <c r="E17"/>
    </row>
    <row r="18" spans="1:6" x14ac:dyDescent="0.35">
      <c r="A18" s="7" t="s">
        <v>114</v>
      </c>
      <c r="B18" s="6">
        <v>1</v>
      </c>
      <c r="F18"/>
    </row>
    <row r="19" spans="1:6" x14ac:dyDescent="0.35">
      <c r="A19" s="7" t="s">
        <v>22</v>
      </c>
      <c r="B19" s="1">
        <v>1000</v>
      </c>
      <c r="F19"/>
    </row>
    <row r="20" spans="1:6" x14ac:dyDescent="0.35">
      <c r="A20" s="7" t="s">
        <v>124</v>
      </c>
      <c r="B20" s="1">
        <v>1000</v>
      </c>
    </row>
    <row r="22" spans="1:6" x14ac:dyDescent="0.35">
      <c r="A22" s="4" t="s">
        <v>115</v>
      </c>
      <c r="E22"/>
    </row>
    <row r="23" spans="1:6" x14ac:dyDescent="0.35">
      <c r="A23" s="7" t="s">
        <v>116</v>
      </c>
      <c r="B23" s="6">
        <v>0.7</v>
      </c>
      <c r="F23"/>
    </row>
    <row r="24" spans="1:6" x14ac:dyDescent="0.35">
      <c r="A24" s="7" t="s">
        <v>117</v>
      </c>
      <c r="B24" s="1">
        <v>100</v>
      </c>
      <c r="C24" s="4" t="s">
        <v>118</v>
      </c>
      <c r="F24"/>
    </row>
    <row r="25" spans="1:6" x14ac:dyDescent="0.35">
      <c r="F25"/>
    </row>
    <row r="26" spans="1:6" x14ac:dyDescent="0.35">
      <c r="A26" s="4" t="s">
        <v>125</v>
      </c>
      <c r="E26"/>
    </row>
    <row r="27" spans="1:6" x14ac:dyDescent="0.35">
      <c r="A27" s="13" t="s">
        <v>5</v>
      </c>
      <c r="B27" s="19">
        <f>B18</f>
        <v>1</v>
      </c>
      <c r="C27" s="4" t="s">
        <v>72</v>
      </c>
    </row>
    <row r="28" spans="1:6" x14ac:dyDescent="0.35">
      <c r="A28" s="13" t="s">
        <v>120</v>
      </c>
      <c r="B28" s="12">
        <f>B27/B19</f>
        <v>1E-3</v>
      </c>
      <c r="C28" s="4" t="s">
        <v>122</v>
      </c>
    </row>
    <row r="29" spans="1:6" x14ac:dyDescent="0.35">
      <c r="A29" s="13" t="s">
        <v>121</v>
      </c>
      <c r="B29" s="12">
        <f>B28/(B24+1)</f>
        <v>9.9009900990099013E-6</v>
      </c>
      <c r="C29" s="4" t="s">
        <v>123</v>
      </c>
    </row>
    <row r="31" spans="1:6" x14ac:dyDescent="0.35">
      <c r="A31" s="4" t="s">
        <v>110</v>
      </c>
    </row>
    <row r="32" spans="1:6" x14ac:dyDescent="0.35">
      <c r="A32" s="13" t="s">
        <v>111</v>
      </c>
      <c r="B32" s="6">
        <f>B27+B23+B29*B20</f>
        <v>1.7099009900990099</v>
      </c>
      <c r="C32" s="4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5685-9476-4A1A-ADBF-AB18B6F25C5C}">
  <dimension ref="A1:F31"/>
  <sheetViews>
    <sheetView zoomScale="85" zoomScaleNormal="85" workbookViewId="0">
      <selection activeCell="A32" sqref="A32"/>
    </sheetView>
  </sheetViews>
  <sheetFormatPr defaultColWidth="8.81640625" defaultRowHeight="14.5" x14ac:dyDescent="0.35"/>
  <cols>
    <col min="1" max="1" width="12.1796875" style="1" customWidth="1"/>
    <col min="2" max="2" width="9.54296875" style="1" bestFit="1" customWidth="1"/>
    <col min="3" max="3" width="8.81640625" style="4"/>
    <col min="4" max="16384" width="8.81640625" style="1"/>
  </cols>
  <sheetData>
    <row r="1" spans="1:5" ht="18.5" x14ac:dyDescent="0.45">
      <c r="A1" s="2" t="s">
        <v>138</v>
      </c>
    </row>
    <row r="2" spans="1:5" x14ac:dyDescent="0.35">
      <c r="A2" s="3"/>
      <c r="D2" s="9"/>
      <c r="E2" s="4" t="s">
        <v>6</v>
      </c>
    </row>
    <row r="3" spans="1:5" x14ac:dyDescent="0.35">
      <c r="D3" s="14"/>
      <c r="E3" s="10" t="s">
        <v>7</v>
      </c>
    </row>
    <row r="4" spans="1:5" x14ac:dyDescent="0.35">
      <c r="D4" s="10"/>
      <c r="E4" s="10"/>
    </row>
    <row r="5" spans="1:5" x14ac:dyDescent="0.35">
      <c r="B5"/>
      <c r="D5" s="10"/>
      <c r="E5" s="10"/>
    </row>
    <row r="6" spans="1:5" x14ac:dyDescent="0.35">
      <c r="D6" s="10"/>
      <c r="E6" s="10"/>
    </row>
    <row r="7" spans="1:5" x14ac:dyDescent="0.35">
      <c r="D7" s="10"/>
      <c r="E7" s="10"/>
    </row>
    <row r="8" spans="1:5" x14ac:dyDescent="0.35">
      <c r="B8"/>
      <c r="D8" s="10"/>
      <c r="E8" s="10"/>
    </row>
    <row r="9" spans="1:5" x14ac:dyDescent="0.35">
      <c r="D9" s="10"/>
      <c r="E9" s="10"/>
    </row>
    <row r="10" spans="1:5" x14ac:dyDescent="0.35">
      <c r="D10" s="10"/>
      <c r="E10" s="10"/>
    </row>
    <row r="11" spans="1:5" x14ac:dyDescent="0.35">
      <c r="D11" s="10"/>
      <c r="E11" s="10"/>
    </row>
    <row r="12" spans="1:5" x14ac:dyDescent="0.35">
      <c r="D12" s="10"/>
      <c r="E12" s="10"/>
    </row>
    <row r="17" spans="1:6" x14ac:dyDescent="0.35">
      <c r="A17" s="4" t="s">
        <v>113</v>
      </c>
      <c r="E17"/>
    </row>
    <row r="18" spans="1:6" x14ac:dyDescent="0.35">
      <c r="A18" s="7" t="s">
        <v>72</v>
      </c>
      <c r="B18" s="6">
        <v>1</v>
      </c>
      <c r="F18"/>
    </row>
    <row r="19" spans="1:6" x14ac:dyDescent="0.35">
      <c r="A19" s="7" t="s">
        <v>22</v>
      </c>
      <c r="B19" s="1">
        <v>1000</v>
      </c>
      <c r="F19"/>
    </row>
    <row r="20" spans="1:6" x14ac:dyDescent="0.35">
      <c r="A20" s="7" t="s">
        <v>139</v>
      </c>
      <c r="B20" s="1">
        <v>100</v>
      </c>
      <c r="C20" s="4" t="s">
        <v>209</v>
      </c>
      <c r="F20"/>
    </row>
    <row r="21" spans="1:6" x14ac:dyDescent="0.35">
      <c r="A21" s="7" t="s">
        <v>210</v>
      </c>
      <c r="B21" s="1">
        <v>100</v>
      </c>
      <c r="C21" s="4" t="s">
        <v>209</v>
      </c>
      <c r="F21"/>
    </row>
    <row r="23" spans="1:6" x14ac:dyDescent="0.35">
      <c r="A23" s="4" t="s">
        <v>45</v>
      </c>
      <c r="E23"/>
    </row>
    <row r="24" spans="1:6" x14ac:dyDescent="0.35">
      <c r="A24" s="13" t="s">
        <v>5</v>
      </c>
      <c r="B24" s="19">
        <f>B18</f>
        <v>1</v>
      </c>
      <c r="C24" s="4" t="s">
        <v>72</v>
      </c>
    </row>
    <row r="25" spans="1:6" x14ac:dyDescent="0.35">
      <c r="A25" s="13" t="s">
        <v>19</v>
      </c>
      <c r="B25" s="19">
        <f>B18/B19</f>
        <v>1E-3</v>
      </c>
      <c r="C25" s="4" t="s">
        <v>122</v>
      </c>
    </row>
    <row r="28" spans="1:6" x14ac:dyDescent="0.35">
      <c r="A28" s="4" t="s">
        <v>110</v>
      </c>
    </row>
    <row r="29" spans="1:6" x14ac:dyDescent="0.35">
      <c r="A29" s="13" t="s">
        <v>111</v>
      </c>
      <c r="B29" s="6">
        <f>B18+B25*B20</f>
        <v>1.1000000000000001</v>
      </c>
      <c r="C29" s="4" t="s">
        <v>140</v>
      </c>
    </row>
    <row r="31" spans="1:6" x14ac:dyDescent="0.35">
      <c r="A31" s="4" t="s">
        <v>280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3629-2BE0-40D9-BA26-6F188BCC6F35}">
  <dimension ref="A1:F29"/>
  <sheetViews>
    <sheetView zoomScale="85" zoomScaleNormal="85" workbookViewId="0">
      <selection activeCell="J15" sqref="J15"/>
    </sheetView>
  </sheetViews>
  <sheetFormatPr defaultColWidth="8.81640625" defaultRowHeight="14.5" x14ac:dyDescent="0.35"/>
  <cols>
    <col min="1" max="1" width="14.453125" style="1" customWidth="1"/>
    <col min="2" max="2" width="9.54296875" style="1" bestFit="1" customWidth="1"/>
    <col min="3" max="3" width="8.81640625" style="4"/>
    <col min="4" max="16384" width="8.81640625" style="1"/>
  </cols>
  <sheetData>
    <row r="1" spans="1:5" ht="18.5" x14ac:dyDescent="0.45">
      <c r="A1" s="2" t="s">
        <v>168</v>
      </c>
    </row>
    <row r="2" spans="1:5" x14ac:dyDescent="0.35">
      <c r="A2" s="3"/>
      <c r="D2" s="9"/>
      <c r="E2" s="4" t="s">
        <v>6</v>
      </c>
    </row>
    <row r="3" spans="1:5" x14ac:dyDescent="0.35">
      <c r="D3" s="14"/>
      <c r="E3" s="10" t="s">
        <v>7</v>
      </c>
    </row>
    <row r="4" spans="1:5" x14ac:dyDescent="0.35">
      <c r="D4" s="10"/>
      <c r="E4" s="10"/>
    </row>
    <row r="5" spans="1:5" x14ac:dyDescent="0.35">
      <c r="B5"/>
      <c r="D5" s="10"/>
      <c r="E5" s="10"/>
    </row>
    <row r="6" spans="1:5" x14ac:dyDescent="0.35">
      <c r="D6" s="10"/>
      <c r="E6" s="10"/>
    </row>
    <row r="7" spans="1:5" x14ac:dyDescent="0.35">
      <c r="D7" s="10"/>
      <c r="E7" s="10"/>
    </row>
    <row r="8" spans="1:5" x14ac:dyDescent="0.35">
      <c r="B8"/>
      <c r="D8" s="10"/>
      <c r="E8" s="10"/>
    </row>
    <row r="9" spans="1:5" x14ac:dyDescent="0.35">
      <c r="D9" s="10"/>
      <c r="E9" s="10"/>
    </row>
    <row r="10" spans="1:5" x14ac:dyDescent="0.35">
      <c r="D10" s="10"/>
      <c r="E10" s="10"/>
    </row>
    <row r="11" spans="1:5" x14ac:dyDescent="0.35">
      <c r="D11" s="10"/>
      <c r="E11" s="10"/>
    </row>
    <row r="12" spans="1:5" x14ac:dyDescent="0.35">
      <c r="D12" s="10"/>
      <c r="E12" s="10"/>
    </row>
    <row r="16" spans="1:5" x14ac:dyDescent="0.35">
      <c r="A16" s="4" t="s">
        <v>141</v>
      </c>
      <c r="E16"/>
    </row>
    <row r="17" spans="1:6" x14ac:dyDescent="0.35">
      <c r="A17" s="7" t="s">
        <v>83</v>
      </c>
      <c r="B17" s="6">
        <v>0.25</v>
      </c>
      <c r="F17"/>
    </row>
    <row r="18" spans="1:6" x14ac:dyDescent="0.35">
      <c r="A18" s="7" t="s">
        <v>0</v>
      </c>
      <c r="B18" s="27">
        <v>100000</v>
      </c>
      <c r="F18"/>
    </row>
    <row r="19" spans="1:6" x14ac:dyDescent="0.35">
      <c r="A19" s="7" t="s">
        <v>1</v>
      </c>
      <c r="B19" s="27">
        <v>100000</v>
      </c>
    </row>
    <row r="20" spans="1:6" x14ac:dyDescent="0.35">
      <c r="A20" s="7" t="s">
        <v>3</v>
      </c>
      <c r="B20" s="27">
        <v>10000</v>
      </c>
    </row>
    <row r="21" spans="1:6" x14ac:dyDescent="0.35">
      <c r="A21" s="7" t="s">
        <v>50</v>
      </c>
      <c r="B21" s="27">
        <v>1000</v>
      </c>
      <c r="C21" s="4" t="s">
        <v>204</v>
      </c>
      <c r="F21"/>
    </row>
    <row r="23" spans="1:6" x14ac:dyDescent="0.35">
      <c r="A23" s="4" t="s">
        <v>203</v>
      </c>
      <c r="E23"/>
    </row>
    <row r="24" spans="1:6" x14ac:dyDescent="0.35">
      <c r="A24" s="13" t="s">
        <v>208</v>
      </c>
      <c r="B24" s="18">
        <f>$B$21/($B$21+$B$20)</f>
        <v>9.0909090909090912E-2</v>
      </c>
      <c r="C24" s="22" t="s">
        <v>134</v>
      </c>
    </row>
    <row r="25" spans="1:6" x14ac:dyDescent="0.35">
      <c r="A25" s="13" t="s">
        <v>205</v>
      </c>
      <c r="B25" s="18">
        <f>1/B24</f>
        <v>11</v>
      </c>
      <c r="C25" s="22" t="s">
        <v>206</v>
      </c>
      <c r="F25" s="4"/>
    </row>
    <row r="27" spans="1:6" x14ac:dyDescent="0.35">
      <c r="A27" s="4" t="s">
        <v>142</v>
      </c>
      <c r="E27"/>
    </row>
    <row r="28" spans="1:6" x14ac:dyDescent="0.35">
      <c r="A28" s="13" t="s">
        <v>16</v>
      </c>
      <c r="B28" s="18">
        <f>-$B$19*$B$25/$B$18</f>
        <v>-11</v>
      </c>
      <c r="C28" s="22" t="s">
        <v>207</v>
      </c>
    </row>
    <row r="29" spans="1:6" x14ac:dyDescent="0.35">
      <c r="A29" s="13" t="s">
        <v>5</v>
      </c>
      <c r="B29" s="18">
        <f>B17*B24</f>
        <v>2.2727272727272728E-2</v>
      </c>
      <c r="C29" s="4" t="s">
        <v>82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A8AD-0E19-4F8C-AE05-2F881CAE1E16}">
  <dimension ref="A1:G42"/>
  <sheetViews>
    <sheetView zoomScale="85" zoomScaleNormal="85" workbookViewId="0">
      <selection activeCell="A4" sqref="A4"/>
    </sheetView>
  </sheetViews>
  <sheetFormatPr defaultColWidth="8.81640625" defaultRowHeight="14.5" x14ac:dyDescent="0.35"/>
  <cols>
    <col min="1" max="1" width="12.1796875" style="1" customWidth="1"/>
    <col min="2" max="2" width="9.54296875" style="1" bestFit="1" customWidth="1"/>
    <col min="3" max="3" width="8.81640625" style="4"/>
    <col min="4" max="16384" width="8.81640625" style="1"/>
  </cols>
  <sheetData>
    <row r="1" spans="1:5" ht="18.5" x14ac:dyDescent="0.45">
      <c r="A1" s="2" t="s">
        <v>189</v>
      </c>
    </row>
    <row r="2" spans="1:5" x14ac:dyDescent="0.35">
      <c r="A2" s="3"/>
      <c r="D2" s="9"/>
      <c r="E2" s="4" t="s">
        <v>6</v>
      </c>
    </row>
    <row r="3" spans="1:5" x14ac:dyDescent="0.35">
      <c r="D3" s="14"/>
      <c r="E3" s="10" t="s">
        <v>7</v>
      </c>
    </row>
    <row r="4" spans="1:5" x14ac:dyDescent="0.35">
      <c r="D4" s="10"/>
      <c r="E4" s="10"/>
    </row>
    <row r="5" spans="1:5" x14ac:dyDescent="0.35">
      <c r="B5"/>
      <c r="D5" s="10"/>
      <c r="E5" s="10"/>
    </row>
    <row r="6" spans="1:5" x14ac:dyDescent="0.35">
      <c r="D6" s="10"/>
      <c r="E6" s="10"/>
    </row>
    <row r="7" spans="1:5" x14ac:dyDescent="0.35">
      <c r="D7" s="10"/>
      <c r="E7" s="10"/>
    </row>
    <row r="8" spans="1:5" x14ac:dyDescent="0.35">
      <c r="B8"/>
      <c r="D8" s="10"/>
      <c r="E8" s="10"/>
    </row>
    <row r="9" spans="1:5" x14ac:dyDescent="0.35">
      <c r="D9" s="10"/>
      <c r="E9" s="10"/>
    </row>
    <row r="10" spans="1:5" x14ac:dyDescent="0.35">
      <c r="D10" s="10"/>
      <c r="E10" s="10"/>
    </row>
    <row r="11" spans="1:5" x14ac:dyDescent="0.35">
      <c r="D11" s="10"/>
      <c r="E11" s="10"/>
    </row>
    <row r="12" spans="1:5" x14ac:dyDescent="0.35">
      <c r="D12" s="10"/>
      <c r="E12" s="10"/>
    </row>
    <row r="16" spans="1:5" x14ac:dyDescent="0.35">
      <c r="A16" s="4" t="s">
        <v>141</v>
      </c>
      <c r="E16"/>
    </row>
    <row r="17" spans="1:7" x14ac:dyDescent="0.35">
      <c r="A17" s="7" t="s">
        <v>21</v>
      </c>
      <c r="B17" s="6">
        <v>5</v>
      </c>
      <c r="F17"/>
    </row>
    <row r="18" spans="1:7" x14ac:dyDescent="0.35">
      <c r="A18" s="7" t="s">
        <v>0</v>
      </c>
      <c r="B18" s="27">
        <v>10000</v>
      </c>
      <c r="F18"/>
    </row>
    <row r="19" spans="1:7" x14ac:dyDescent="0.35">
      <c r="A19" s="7" t="s">
        <v>1</v>
      </c>
      <c r="B19" s="27">
        <v>10000</v>
      </c>
    </row>
    <row r="20" spans="1:7" x14ac:dyDescent="0.35">
      <c r="A20" s="7" t="s">
        <v>169</v>
      </c>
      <c r="B20" s="27">
        <v>10000</v>
      </c>
      <c r="C20" s="4" t="s">
        <v>171</v>
      </c>
      <c r="F20"/>
    </row>
    <row r="21" spans="1:7" x14ac:dyDescent="0.35">
      <c r="A21" s="7" t="s">
        <v>50</v>
      </c>
      <c r="B21" s="27">
        <v>10000</v>
      </c>
    </row>
    <row r="23" spans="1:7" x14ac:dyDescent="0.35">
      <c r="A23" s="4" t="s">
        <v>177</v>
      </c>
      <c r="E23"/>
    </row>
    <row r="24" spans="1:7" x14ac:dyDescent="0.35">
      <c r="A24" s="7" t="s">
        <v>173</v>
      </c>
      <c r="B24" s="5">
        <v>-4</v>
      </c>
      <c r="C24" s="4" t="s">
        <v>170</v>
      </c>
      <c r="F24"/>
    </row>
    <row r="25" spans="1:7" customFormat="1" x14ac:dyDescent="0.35">
      <c r="B25" s="1"/>
    </row>
    <row r="26" spans="1:7" customFormat="1" x14ac:dyDescent="0.35">
      <c r="A26" s="4" t="s">
        <v>175</v>
      </c>
      <c r="G26" s="24"/>
    </row>
    <row r="27" spans="1:7" customFormat="1" x14ac:dyDescent="0.35">
      <c r="A27" s="13" t="s">
        <v>56</v>
      </c>
      <c r="B27" s="6">
        <f>$B$17*$B$21/($B$20+$B$21)*($B$19/$B$18+1) - $B$17*$B$19/$B$18</f>
        <v>0</v>
      </c>
      <c r="C27" t="s">
        <v>172</v>
      </c>
      <c r="G27" s="24"/>
    </row>
    <row r="29" spans="1:7" x14ac:dyDescent="0.35">
      <c r="A29" s="4" t="s">
        <v>178</v>
      </c>
      <c r="E29"/>
    </row>
    <row r="30" spans="1:7" x14ac:dyDescent="0.35">
      <c r="A30" s="13" t="s">
        <v>179</v>
      </c>
      <c r="B30" s="11">
        <f>$B$20*(1+$B$24/100)</f>
        <v>9600</v>
      </c>
      <c r="C30" s="22" t="s">
        <v>174</v>
      </c>
    </row>
    <row r="32" spans="1:7" x14ac:dyDescent="0.35">
      <c r="A32" s="4" t="s">
        <v>186</v>
      </c>
      <c r="E32"/>
    </row>
    <row r="33" spans="1:7" customFormat="1" x14ac:dyDescent="0.35">
      <c r="A33" s="29" t="s">
        <v>185</v>
      </c>
      <c r="B33" s="6">
        <f>$B$17*$B$21/($B$30+$B$21)*($B$19/$B$18+1) - $B$17*$B$19/$B$18</f>
        <v>0.1020408163265305</v>
      </c>
      <c r="C33" t="s">
        <v>180</v>
      </c>
      <c r="G33" s="24"/>
    </row>
    <row r="35" spans="1:7" x14ac:dyDescent="0.35">
      <c r="A35" s="4" t="s">
        <v>184</v>
      </c>
      <c r="E35"/>
    </row>
    <row r="36" spans="1:7" customFormat="1" x14ac:dyDescent="0.35">
      <c r="A36" s="13" t="s">
        <v>183</v>
      </c>
      <c r="B36" s="6">
        <f>(B33-B27)/1</f>
        <v>0.1020408163265305</v>
      </c>
      <c r="C36" t="s">
        <v>187</v>
      </c>
      <c r="G36" s="24"/>
    </row>
    <row r="39" spans="1:7" x14ac:dyDescent="0.35">
      <c r="A39" s="4" t="s">
        <v>190</v>
      </c>
      <c r="E39"/>
    </row>
    <row r="40" spans="1:7" x14ac:dyDescent="0.35">
      <c r="A40" s="7" t="s">
        <v>176</v>
      </c>
      <c r="B40" s="6">
        <v>1.2</v>
      </c>
      <c r="C40" s="22"/>
    </row>
    <row r="41" spans="1:7" x14ac:dyDescent="0.35">
      <c r="A41" s="4" t="s">
        <v>181</v>
      </c>
      <c r="E41"/>
    </row>
    <row r="42" spans="1:7" x14ac:dyDescent="0.35">
      <c r="A42" s="29" t="s">
        <v>182</v>
      </c>
      <c r="B42" s="5">
        <f>B40/B36</f>
        <v>11.760000000000012</v>
      </c>
      <c r="C42" s="4" t="s">
        <v>188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0E9F5-B573-4D6C-9C37-7D3AA3FE5470}">
  <sheetPr codeName="Sheet21"/>
  <dimension ref="A1:F43"/>
  <sheetViews>
    <sheetView zoomScale="85" zoomScaleNormal="85" workbookViewId="0">
      <selection activeCell="H19" sqref="H19"/>
    </sheetView>
  </sheetViews>
  <sheetFormatPr defaultColWidth="8.81640625" defaultRowHeight="14.5" x14ac:dyDescent="0.35"/>
  <cols>
    <col min="1" max="1" width="12.1796875" style="1" customWidth="1"/>
    <col min="2" max="2" width="8.81640625" style="1"/>
    <col min="3" max="3" width="8.81640625" style="4"/>
    <col min="4" max="16384" width="8.81640625" style="1"/>
  </cols>
  <sheetData>
    <row r="1" spans="1:5" ht="18.5" x14ac:dyDescent="0.45">
      <c r="A1" s="2" t="s">
        <v>281</v>
      </c>
    </row>
    <row r="2" spans="1:5" x14ac:dyDescent="0.35">
      <c r="A2" s="24" t="s">
        <v>282</v>
      </c>
      <c r="D2" s="9"/>
      <c r="E2" s="4" t="s">
        <v>6</v>
      </c>
    </row>
    <row r="3" spans="1:5" x14ac:dyDescent="0.35">
      <c r="D3" s="14"/>
      <c r="E3" s="10" t="s">
        <v>7</v>
      </c>
    </row>
    <row r="4" spans="1:5" x14ac:dyDescent="0.35">
      <c r="D4" s="10"/>
      <c r="E4" s="10"/>
    </row>
    <row r="5" spans="1:5" x14ac:dyDescent="0.35">
      <c r="D5" s="10"/>
      <c r="E5" s="10"/>
    </row>
    <row r="6" spans="1:5" x14ac:dyDescent="0.35">
      <c r="D6" s="10"/>
      <c r="E6" s="10"/>
    </row>
    <row r="7" spans="1:5" x14ac:dyDescent="0.35">
      <c r="D7" s="10"/>
      <c r="E7" s="10"/>
    </row>
    <row r="8" spans="1:5" x14ac:dyDescent="0.35">
      <c r="B8"/>
      <c r="D8" s="10"/>
      <c r="E8" s="10"/>
    </row>
    <row r="9" spans="1:5" x14ac:dyDescent="0.35">
      <c r="D9" s="10"/>
      <c r="E9" s="10"/>
    </row>
    <row r="10" spans="1:5" x14ac:dyDescent="0.35">
      <c r="D10" s="10"/>
      <c r="E10" s="10"/>
    </row>
    <row r="11" spans="1:5" x14ac:dyDescent="0.35">
      <c r="D11" s="10"/>
      <c r="E11" s="10"/>
    </row>
    <row r="12" spans="1:5" x14ac:dyDescent="0.35">
      <c r="D12" s="10"/>
      <c r="E12" s="10"/>
    </row>
    <row r="18" spans="1:6" x14ac:dyDescent="0.35">
      <c r="A18" s="4" t="s">
        <v>113</v>
      </c>
      <c r="C18" s="4" t="s">
        <v>283</v>
      </c>
    </row>
    <row r="19" spans="1:6" x14ac:dyDescent="0.35">
      <c r="A19" s="7" t="s">
        <v>21</v>
      </c>
      <c r="B19" s="6">
        <v>5</v>
      </c>
      <c r="F19"/>
    </row>
    <row r="20" spans="1:6" x14ac:dyDescent="0.35">
      <c r="A20" s="7" t="s">
        <v>0</v>
      </c>
      <c r="B20" s="1">
        <v>3300</v>
      </c>
      <c r="F20"/>
    </row>
    <row r="21" spans="1:6" x14ac:dyDescent="0.35">
      <c r="A21" s="7" t="s">
        <v>1</v>
      </c>
      <c r="B21" s="1">
        <v>1000</v>
      </c>
    </row>
    <row r="23" spans="1:6" x14ac:dyDescent="0.35">
      <c r="A23" s="4" t="s">
        <v>126</v>
      </c>
      <c r="E23" s="4"/>
    </row>
    <row r="24" spans="1:6" x14ac:dyDescent="0.35">
      <c r="A24" s="13" t="s">
        <v>66</v>
      </c>
      <c r="B24" s="18">
        <f>B19*B21/(B20+B21)</f>
        <v>1.1627906976744187</v>
      </c>
      <c r="C24" s="4" t="s">
        <v>71</v>
      </c>
    </row>
    <row r="26" spans="1:6" x14ac:dyDescent="0.35">
      <c r="A26" s="4" t="s">
        <v>284</v>
      </c>
      <c r="E26"/>
    </row>
    <row r="27" spans="1:6" x14ac:dyDescent="0.35">
      <c r="A27" s="7" t="s">
        <v>39</v>
      </c>
      <c r="B27" s="18">
        <v>1.8</v>
      </c>
      <c r="C27" s="4" t="s">
        <v>137</v>
      </c>
      <c r="F27"/>
    </row>
    <row r="28" spans="1:6" x14ac:dyDescent="0.35">
      <c r="A28" s="7" t="s">
        <v>40</v>
      </c>
      <c r="B28" s="18">
        <v>-1.8</v>
      </c>
      <c r="F28"/>
    </row>
    <row r="30" spans="1:6" x14ac:dyDescent="0.35">
      <c r="A30" s="4" t="s">
        <v>129</v>
      </c>
      <c r="E30"/>
    </row>
    <row r="31" spans="1:6" x14ac:dyDescent="0.35">
      <c r="A31" s="13" t="s">
        <v>3</v>
      </c>
      <c r="B31" s="11">
        <v>4700</v>
      </c>
    </row>
    <row r="32" spans="1:6" x14ac:dyDescent="0.35">
      <c r="A32" s="13" t="s">
        <v>50</v>
      </c>
      <c r="B32" s="11">
        <v>100000</v>
      </c>
    </row>
    <row r="33" spans="1:3" x14ac:dyDescent="0.35">
      <c r="A33" s="13" t="s">
        <v>131</v>
      </c>
      <c r="B33" s="6">
        <f>$B$31/($B$31+$B$32)</f>
        <v>4.4890162368672396E-2</v>
      </c>
      <c r="C33" s="4" t="s">
        <v>128</v>
      </c>
    </row>
    <row r="34" spans="1:3" x14ac:dyDescent="0.35">
      <c r="A34" s="13" t="s">
        <v>67</v>
      </c>
      <c r="B34" s="6">
        <f>B27*B33</f>
        <v>8.0802292263610312E-2</v>
      </c>
      <c r="C34" s="4" t="s">
        <v>132</v>
      </c>
    </row>
    <row r="35" spans="1:3" x14ac:dyDescent="0.35">
      <c r="A35" s="13" t="s">
        <v>68</v>
      </c>
      <c r="B35" s="6">
        <f>B28*B33</f>
        <v>-8.0802292263610312E-2</v>
      </c>
      <c r="C35" s="4" t="s">
        <v>133</v>
      </c>
    </row>
    <row r="36" spans="1:3" x14ac:dyDescent="0.35">
      <c r="A36" s="4"/>
      <c r="B36" s="6"/>
    </row>
    <row r="37" spans="1:3" x14ac:dyDescent="0.35">
      <c r="A37" s="4" t="s">
        <v>285</v>
      </c>
    </row>
    <row r="38" spans="1:3" x14ac:dyDescent="0.35">
      <c r="A38" s="13" t="s">
        <v>130</v>
      </c>
      <c r="B38" s="6">
        <f>$B$32/($B$31+$B$32)</f>
        <v>0.95510983763132762</v>
      </c>
      <c r="C38" s="4" t="s">
        <v>134</v>
      </c>
    </row>
    <row r="39" spans="1:3" x14ac:dyDescent="0.35">
      <c r="A39" s="13" t="s">
        <v>69</v>
      </c>
      <c r="B39" s="6">
        <f>($B$24+$B$34)/$B$38</f>
        <v>1.3020418604651163</v>
      </c>
      <c r="C39" s="4" t="s">
        <v>135</v>
      </c>
    </row>
    <row r="40" spans="1:3" x14ac:dyDescent="0.35">
      <c r="A40" s="13" t="s">
        <v>70</v>
      </c>
      <c r="B40" s="6">
        <f>($B$24-$B$34)/B38</f>
        <v>1.1328418604651165</v>
      </c>
      <c r="C40" s="4" t="s">
        <v>136</v>
      </c>
    </row>
    <row r="42" spans="1:3" x14ac:dyDescent="0.35">
      <c r="A42" s="4" t="s">
        <v>286</v>
      </c>
    </row>
    <row r="43" spans="1:3" x14ac:dyDescent="0.35">
      <c r="A43" s="13" t="s">
        <v>41</v>
      </c>
      <c r="B43" s="6">
        <f>B39-B40</f>
        <v>0.1691999999999998</v>
      </c>
      <c r="C43" s="4" t="s">
        <v>127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CFA80-E14E-4A13-9814-035FDAF35417}">
  <dimension ref="A1:F23"/>
  <sheetViews>
    <sheetView zoomScale="85" zoomScaleNormal="85" workbookViewId="0">
      <selection activeCell="I15" sqref="I15"/>
    </sheetView>
  </sheetViews>
  <sheetFormatPr defaultColWidth="8.81640625" defaultRowHeight="14.5" x14ac:dyDescent="0.35"/>
  <cols>
    <col min="1" max="1" width="12.1796875" style="1" customWidth="1"/>
    <col min="2" max="2" width="9.54296875" style="1" bestFit="1" customWidth="1"/>
    <col min="3" max="3" width="8.81640625" style="4"/>
    <col min="4" max="16384" width="8.81640625" style="1"/>
  </cols>
  <sheetData>
    <row r="1" spans="1:5" ht="18.5" x14ac:dyDescent="0.45">
      <c r="A1" s="2" t="s">
        <v>288</v>
      </c>
    </row>
    <row r="2" spans="1:5" x14ac:dyDescent="0.35">
      <c r="A2" s="24" t="s">
        <v>287</v>
      </c>
      <c r="D2" s="9"/>
      <c r="E2" s="4" t="s">
        <v>6</v>
      </c>
    </row>
    <row r="3" spans="1:5" x14ac:dyDescent="0.35">
      <c r="D3" s="14"/>
      <c r="E3" s="10" t="s">
        <v>7</v>
      </c>
    </row>
    <row r="4" spans="1:5" x14ac:dyDescent="0.35">
      <c r="D4" s="10"/>
      <c r="E4" s="10"/>
    </row>
    <row r="5" spans="1:5" x14ac:dyDescent="0.35">
      <c r="B5"/>
      <c r="D5" s="10"/>
      <c r="E5" s="10"/>
    </row>
    <row r="6" spans="1:5" x14ac:dyDescent="0.35">
      <c r="D6" s="10"/>
      <c r="E6" s="10"/>
    </row>
    <row r="7" spans="1:5" x14ac:dyDescent="0.35">
      <c r="D7" s="10"/>
      <c r="E7" s="10"/>
    </row>
    <row r="8" spans="1:5" x14ac:dyDescent="0.35">
      <c r="B8"/>
      <c r="D8" s="10"/>
      <c r="E8" s="10"/>
    </row>
    <row r="9" spans="1:5" x14ac:dyDescent="0.35">
      <c r="D9" s="10"/>
      <c r="E9" s="10"/>
    </row>
    <row r="10" spans="1:5" x14ac:dyDescent="0.35">
      <c r="D10" s="10"/>
      <c r="E10" s="10"/>
    </row>
    <row r="11" spans="1:5" x14ac:dyDescent="0.35">
      <c r="D11" s="10"/>
      <c r="E11" s="10"/>
    </row>
    <row r="12" spans="1:5" x14ac:dyDescent="0.35">
      <c r="D12" s="10"/>
      <c r="E12" s="10"/>
    </row>
    <row r="17" spans="1:6" x14ac:dyDescent="0.35">
      <c r="A17" s="4" t="s">
        <v>113</v>
      </c>
      <c r="E17"/>
    </row>
    <row r="18" spans="1:6" x14ac:dyDescent="0.35">
      <c r="A18" s="7" t="s">
        <v>191</v>
      </c>
      <c r="B18" s="20">
        <v>9.9999999999999995E-7</v>
      </c>
      <c r="C18" s="4" t="s">
        <v>289</v>
      </c>
      <c r="F18"/>
    </row>
    <row r="19" spans="1:6" x14ac:dyDescent="0.35">
      <c r="A19" s="7" t="s">
        <v>1</v>
      </c>
      <c r="B19" s="27">
        <v>470000</v>
      </c>
      <c r="F19"/>
    </row>
    <row r="20" spans="1:6" x14ac:dyDescent="0.35">
      <c r="A20" s="7" t="s">
        <v>98</v>
      </c>
      <c r="B20" s="20">
        <v>1E-10</v>
      </c>
      <c r="C20" s="4" t="s">
        <v>290</v>
      </c>
      <c r="F20"/>
    </row>
    <row r="22" spans="1:6" x14ac:dyDescent="0.35">
      <c r="A22" s="4" t="s">
        <v>228</v>
      </c>
      <c r="E22"/>
    </row>
    <row r="23" spans="1:6" x14ac:dyDescent="0.35">
      <c r="A23" s="13" t="s">
        <v>5</v>
      </c>
      <c r="B23" s="6">
        <f>B18*B19</f>
        <v>0.47</v>
      </c>
      <c r="C23" s="22" t="s">
        <v>192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2F31C-6C25-4AEE-91FB-007F3CDD26DC}">
  <sheetPr codeName="Sheet6"/>
  <dimension ref="A1:F30"/>
  <sheetViews>
    <sheetView zoomScale="85" zoomScaleNormal="85" workbookViewId="0">
      <selection activeCell="G18" sqref="G18"/>
    </sheetView>
  </sheetViews>
  <sheetFormatPr defaultColWidth="8.81640625" defaultRowHeight="14.5" x14ac:dyDescent="0.35"/>
  <cols>
    <col min="1" max="1" width="12.1796875" style="1" customWidth="1"/>
    <col min="2" max="2" width="9.54296875" style="1" bestFit="1" customWidth="1"/>
    <col min="3" max="3" width="8.81640625" style="4"/>
    <col min="4" max="16384" width="8.81640625" style="1"/>
  </cols>
  <sheetData>
    <row r="1" spans="1:6" ht="18.5" x14ac:dyDescent="0.45">
      <c r="A1" s="2" t="s">
        <v>298</v>
      </c>
    </row>
    <row r="2" spans="1:6" x14ac:dyDescent="0.35">
      <c r="A2" s="3"/>
      <c r="D2" s="9"/>
      <c r="E2" s="4" t="s">
        <v>6</v>
      </c>
    </row>
    <row r="3" spans="1:6" x14ac:dyDescent="0.35">
      <c r="D3" s="14"/>
      <c r="E3" s="10" t="s">
        <v>7</v>
      </c>
    </row>
    <row r="4" spans="1:6" x14ac:dyDescent="0.35">
      <c r="D4" s="10"/>
      <c r="E4" s="10"/>
    </row>
    <row r="5" spans="1:6" x14ac:dyDescent="0.35">
      <c r="B5"/>
      <c r="D5" s="10"/>
      <c r="E5" s="10"/>
    </row>
    <row r="6" spans="1:6" x14ac:dyDescent="0.35">
      <c r="D6" s="10"/>
      <c r="E6" s="10"/>
    </row>
    <row r="7" spans="1:6" x14ac:dyDescent="0.35">
      <c r="D7" s="10"/>
      <c r="E7" s="10"/>
    </row>
    <row r="8" spans="1:6" x14ac:dyDescent="0.35">
      <c r="B8"/>
      <c r="D8" s="10"/>
      <c r="E8" s="10"/>
    </row>
    <row r="9" spans="1:6" x14ac:dyDescent="0.35">
      <c r="D9" s="10"/>
      <c r="E9" s="10"/>
    </row>
    <row r="10" spans="1:6" x14ac:dyDescent="0.35">
      <c r="D10" s="10"/>
      <c r="E10" s="10"/>
    </row>
    <row r="11" spans="1:6" x14ac:dyDescent="0.35">
      <c r="D11" s="10"/>
      <c r="E11" s="10"/>
    </row>
    <row r="12" spans="1:6" x14ac:dyDescent="0.35">
      <c r="D12" s="10"/>
      <c r="E12" s="10"/>
    </row>
    <row r="15" spans="1:6" x14ac:dyDescent="0.35">
      <c r="A15" s="4" t="s">
        <v>113</v>
      </c>
      <c r="E15"/>
    </row>
    <row r="16" spans="1:6" x14ac:dyDescent="0.35">
      <c r="A16" s="7" t="s">
        <v>83</v>
      </c>
      <c r="B16" s="6">
        <v>0.5</v>
      </c>
      <c r="F16"/>
    </row>
    <row r="17" spans="1:6" x14ac:dyDescent="0.35">
      <c r="A17" s="7" t="s">
        <v>0</v>
      </c>
      <c r="B17" s="27">
        <v>10000</v>
      </c>
      <c r="F17"/>
    </row>
    <row r="18" spans="1:6" x14ac:dyDescent="0.35">
      <c r="A18" s="7" t="s">
        <v>1</v>
      </c>
      <c r="B18" s="27">
        <v>20000</v>
      </c>
    </row>
    <row r="20" spans="1:6" x14ac:dyDescent="0.35">
      <c r="A20" s="4" t="s">
        <v>143</v>
      </c>
      <c r="E20"/>
    </row>
    <row r="21" spans="1:6" x14ac:dyDescent="0.35">
      <c r="A21" s="13" t="s">
        <v>16</v>
      </c>
      <c r="B21" s="18">
        <f>(B18+B17)/B17</f>
        <v>3</v>
      </c>
      <c r="C21" s="4" t="s">
        <v>20</v>
      </c>
    </row>
    <row r="22" spans="1:6" x14ac:dyDescent="0.35">
      <c r="A22" s="13" t="s">
        <v>85</v>
      </c>
      <c r="B22" s="6">
        <f>B16*B21</f>
        <v>1.5</v>
      </c>
      <c r="C22" s="4" t="s">
        <v>82</v>
      </c>
    </row>
    <row r="25" spans="1:6" x14ac:dyDescent="0.35">
      <c r="A25" s="4" t="s">
        <v>273</v>
      </c>
      <c r="E25"/>
    </row>
    <row r="26" spans="1:6" x14ac:dyDescent="0.35">
      <c r="A26" s="7" t="s">
        <v>83</v>
      </c>
      <c r="B26" s="18">
        <v>1</v>
      </c>
      <c r="F26"/>
    </row>
    <row r="27" spans="1:6" x14ac:dyDescent="0.35">
      <c r="A27" s="7" t="s">
        <v>85</v>
      </c>
      <c r="B27" s="18">
        <v>10</v>
      </c>
      <c r="F27"/>
    </row>
    <row r="28" spans="1:6" x14ac:dyDescent="0.35">
      <c r="A28" s="7" t="s">
        <v>0</v>
      </c>
      <c r="B28" s="27">
        <v>1000</v>
      </c>
    </row>
    <row r="29" spans="1:6" x14ac:dyDescent="0.35">
      <c r="A29" s="13" t="s">
        <v>16</v>
      </c>
      <c r="B29" s="18">
        <f>B27/B26</f>
        <v>10</v>
      </c>
      <c r="C29" s="4" t="s">
        <v>17</v>
      </c>
    </row>
    <row r="30" spans="1:6" x14ac:dyDescent="0.35">
      <c r="A30" s="13" t="s">
        <v>1</v>
      </c>
      <c r="B30" s="27">
        <f>B28*(B29-1)</f>
        <v>9000</v>
      </c>
      <c r="C30" s="4" t="s">
        <v>18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DF8E5-3B11-46CB-A738-8A4E5A30EC89}">
  <dimension ref="A1:G38"/>
  <sheetViews>
    <sheetView zoomScale="85" zoomScaleNormal="85" workbookViewId="0">
      <selection activeCell="L13" sqref="L13"/>
    </sheetView>
  </sheetViews>
  <sheetFormatPr defaultColWidth="8.81640625" defaultRowHeight="14.5" x14ac:dyDescent="0.35"/>
  <cols>
    <col min="1" max="1" width="12.1796875" style="1" customWidth="1"/>
    <col min="2" max="2" width="10.54296875" style="1" customWidth="1"/>
    <col min="3" max="3" width="8.81640625" style="4"/>
    <col min="4" max="16384" width="8.81640625" style="1"/>
  </cols>
  <sheetData>
    <row r="1" spans="1:5" ht="18.5" x14ac:dyDescent="0.45">
      <c r="A1" s="2" t="s">
        <v>291</v>
      </c>
    </row>
    <row r="2" spans="1:5" x14ac:dyDescent="0.35">
      <c r="A2" s="3"/>
      <c r="D2" s="9"/>
      <c r="E2" s="4" t="s">
        <v>6</v>
      </c>
    </row>
    <row r="3" spans="1:5" x14ac:dyDescent="0.35">
      <c r="D3" s="14"/>
      <c r="E3" s="10" t="s">
        <v>7</v>
      </c>
    </row>
    <row r="4" spans="1:5" x14ac:dyDescent="0.35">
      <c r="D4" s="10"/>
      <c r="E4" s="10"/>
    </row>
    <row r="5" spans="1:5" x14ac:dyDescent="0.35">
      <c r="B5"/>
      <c r="D5" s="10"/>
      <c r="E5" s="10"/>
    </row>
    <row r="6" spans="1:5" x14ac:dyDescent="0.35">
      <c r="D6" s="10"/>
      <c r="E6" s="10"/>
    </row>
    <row r="7" spans="1:5" x14ac:dyDescent="0.35">
      <c r="D7" s="10"/>
      <c r="E7" s="10"/>
    </row>
    <row r="8" spans="1:5" x14ac:dyDescent="0.35">
      <c r="B8"/>
      <c r="D8" s="10"/>
      <c r="E8" s="10"/>
    </row>
    <row r="9" spans="1:5" x14ac:dyDescent="0.35">
      <c r="D9" s="10"/>
      <c r="E9" s="10"/>
    </row>
    <row r="10" spans="1:5" x14ac:dyDescent="0.35">
      <c r="D10" s="10"/>
      <c r="E10" s="10"/>
    </row>
    <row r="11" spans="1:5" x14ac:dyDescent="0.35">
      <c r="D11" s="10"/>
      <c r="E11" s="10"/>
    </row>
    <row r="12" spans="1:5" x14ac:dyDescent="0.35">
      <c r="D12" s="10"/>
      <c r="E12" s="10"/>
    </row>
    <row r="17" spans="1:7" x14ac:dyDescent="0.35">
      <c r="A17" s="4" t="s">
        <v>194</v>
      </c>
      <c r="E17"/>
    </row>
    <row r="18" spans="1:7" x14ac:dyDescent="0.35">
      <c r="A18" s="7" t="s">
        <v>72</v>
      </c>
      <c r="B18" s="6">
        <v>0.5</v>
      </c>
      <c r="F18"/>
    </row>
    <row r="19" spans="1:7" x14ac:dyDescent="0.35">
      <c r="A19" s="7" t="s">
        <v>25</v>
      </c>
      <c r="B19" s="20">
        <v>1E-8</v>
      </c>
      <c r="F19"/>
    </row>
    <row r="20" spans="1:7" x14ac:dyDescent="0.35">
      <c r="A20" s="7" t="s">
        <v>0</v>
      </c>
      <c r="B20" s="27">
        <v>10000</v>
      </c>
      <c r="F20"/>
    </row>
    <row r="21" spans="1:7" x14ac:dyDescent="0.35">
      <c r="A21" s="7" t="s">
        <v>1</v>
      </c>
      <c r="B21" s="27">
        <v>20000</v>
      </c>
    </row>
    <row r="22" spans="1:7" x14ac:dyDescent="0.35">
      <c r="A22" s="4" t="s">
        <v>193</v>
      </c>
      <c r="E22"/>
    </row>
    <row r="23" spans="1:7" x14ac:dyDescent="0.35">
      <c r="A23" s="7" t="s">
        <v>21</v>
      </c>
      <c r="B23" s="6">
        <v>5</v>
      </c>
      <c r="F23"/>
    </row>
    <row r="24" spans="1:7" x14ac:dyDescent="0.35">
      <c r="A24" s="7" t="s">
        <v>3</v>
      </c>
      <c r="B24" s="27">
        <v>10000</v>
      </c>
      <c r="F24"/>
    </row>
    <row r="25" spans="1:7" x14ac:dyDescent="0.35">
      <c r="A25" s="7" t="s">
        <v>50</v>
      </c>
      <c r="B25" s="27">
        <v>10000</v>
      </c>
    </row>
    <row r="27" spans="1:7" x14ac:dyDescent="0.35">
      <c r="A27" s="4" t="s">
        <v>195</v>
      </c>
      <c r="E27"/>
    </row>
    <row r="28" spans="1:7" x14ac:dyDescent="0.35">
      <c r="A28" s="13" t="s">
        <v>196</v>
      </c>
      <c r="B28" s="5">
        <f>-B21/B20</f>
        <v>-2</v>
      </c>
      <c r="C28" s="22" t="s">
        <v>53</v>
      </c>
      <c r="F28"/>
    </row>
    <row r="29" spans="1:7" customFormat="1" x14ac:dyDescent="0.35">
      <c r="B29" s="1"/>
    </row>
    <row r="30" spans="1:7" customFormat="1" x14ac:dyDescent="0.35">
      <c r="A30" s="4" t="s">
        <v>202</v>
      </c>
      <c r="G30" s="24"/>
    </row>
    <row r="31" spans="1:7" customFormat="1" x14ac:dyDescent="0.35">
      <c r="A31" s="13" t="s">
        <v>200</v>
      </c>
      <c r="B31" s="6">
        <f>B18*B28</f>
        <v>-1</v>
      </c>
      <c r="C31" t="s">
        <v>197</v>
      </c>
      <c r="G31" s="24"/>
    </row>
    <row r="33" spans="1:5" x14ac:dyDescent="0.35">
      <c r="A33" s="4" t="s">
        <v>201</v>
      </c>
      <c r="E33"/>
    </row>
    <row r="34" spans="1:5" x14ac:dyDescent="0.35">
      <c r="A34" s="13" t="s">
        <v>199</v>
      </c>
      <c r="B34" s="6">
        <f>$B$23*$B$25/($B$24+$B$25)</f>
        <v>2.5</v>
      </c>
      <c r="C34" t="s">
        <v>198</v>
      </c>
    </row>
    <row r="37" spans="1:5" x14ac:dyDescent="0.35">
      <c r="A37" s="4" t="s">
        <v>292</v>
      </c>
    </row>
    <row r="38" spans="1:5" ht="15.5" x14ac:dyDescent="0.35">
      <c r="A38" s="13" t="s">
        <v>57</v>
      </c>
      <c r="B38" s="27">
        <f>1/(2*PI()*B20*B19)</f>
        <v>1591.5494309189535</v>
      </c>
      <c r="C38" s="4" t="s">
        <v>255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A729-0EFB-487A-BE1D-C5A13A0885E5}">
  <dimension ref="A1:F38"/>
  <sheetViews>
    <sheetView zoomScale="85" zoomScaleNormal="85" workbookViewId="0">
      <selection activeCell="B40" sqref="B40"/>
    </sheetView>
  </sheetViews>
  <sheetFormatPr defaultColWidth="8.81640625" defaultRowHeight="14.5" x14ac:dyDescent="0.35"/>
  <cols>
    <col min="1" max="1" width="12.1796875" style="1" customWidth="1"/>
    <col min="2" max="2" width="10.54296875" style="1" customWidth="1"/>
    <col min="3" max="3" width="8.81640625" style="4"/>
    <col min="4" max="16384" width="8.81640625" style="1"/>
  </cols>
  <sheetData>
    <row r="1" spans="1:5" ht="18.5" x14ac:dyDescent="0.45">
      <c r="A1" s="2" t="s">
        <v>314</v>
      </c>
    </row>
    <row r="2" spans="1:5" x14ac:dyDescent="0.35">
      <c r="A2" s="3"/>
      <c r="D2" s="9"/>
      <c r="E2" s="4" t="s">
        <v>6</v>
      </c>
    </row>
    <row r="3" spans="1:5" x14ac:dyDescent="0.35">
      <c r="D3" s="14"/>
      <c r="E3" s="10" t="s">
        <v>7</v>
      </c>
    </row>
    <row r="4" spans="1:5" x14ac:dyDescent="0.35">
      <c r="D4" s="10"/>
      <c r="E4" s="10"/>
    </row>
    <row r="5" spans="1:5" x14ac:dyDescent="0.35">
      <c r="B5"/>
      <c r="D5" s="10"/>
      <c r="E5" s="10"/>
    </row>
    <row r="6" spans="1:5" x14ac:dyDescent="0.35">
      <c r="D6" s="10"/>
      <c r="E6" s="10"/>
    </row>
    <row r="7" spans="1:5" x14ac:dyDescent="0.35">
      <c r="D7" s="10"/>
      <c r="E7" s="10"/>
    </row>
    <row r="8" spans="1:5" x14ac:dyDescent="0.35">
      <c r="B8"/>
      <c r="D8" s="10"/>
      <c r="E8" s="10"/>
    </row>
    <row r="9" spans="1:5" x14ac:dyDescent="0.35">
      <c r="D9" s="10"/>
      <c r="E9" s="10"/>
    </row>
    <row r="10" spans="1:5" x14ac:dyDescent="0.35">
      <c r="D10" s="10"/>
      <c r="E10" s="10"/>
    </row>
    <row r="11" spans="1:5" x14ac:dyDescent="0.35">
      <c r="D11" s="10"/>
      <c r="E11" s="10"/>
    </row>
    <row r="12" spans="1:5" x14ac:dyDescent="0.35">
      <c r="D12" s="10"/>
      <c r="E12" s="10"/>
    </row>
    <row r="17" spans="1:6" x14ac:dyDescent="0.35">
      <c r="A17" s="4" t="s">
        <v>310</v>
      </c>
    </row>
    <row r="19" spans="1:6" x14ac:dyDescent="0.35">
      <c r="A19" s="4" t="s">
        <v>305</v>
      </c>
      <c r="E19"/>
    </row>
    <row r="20" spans="1:6" x14ac:dyDescent="0.35">
      <c r="A20" s="7" t="s">
        <v>300</v>
      </c>
      <c r="B20" s="20">
        <v>9.9999999999999995E-7</v>
      </c>
      <c r="F20"/>
    </row>
    <row r="22" spans="1:6" x14ac:dyDescent="0.35">
      <c r="A22" s="4" t="s">
        <v>306</v>
      </c>
      <c r="E22"/>
    </row>
    <row r="23" spans="1:6" x14ac:dyDescent="0.35">
      <c r="A23" s="7" t="s">
        <v>301</v>
      </c>
      <c r="B23" s="27">
        <v>40</v>
      </c>
      <c r="C23" s="4" t="s">
        <v>311</v>
      </c>
      <c r="F23"/>
    </row>
    <row r="24" spans="1:6" x14ac:dyDescent="0.35">
      <c r="A24" s="7" t="s">
        <v>302</v>
      </c>
      <c r="B24" s="27">
        <v>1000000</v>
      </c>
      <c r="C24" s="4" t="s">
        <v>312</v>
      </c>
    </row>
    <row r="26" spans="1:6" x14ac:dyDescent="0.35">
      <c r="A26" s="4" t="s">
        <v>321</v>
      </c>
      <c r="E26"/>
    </row>
    <row r="27" spans="1:6" x14ac:dyDescent="0.35">
      <c r="A27" s="7" t="s">
        <v>304</v>
      </c>
      <c r="B27" s="11">
        <v>100</v>
      </c>
      <c r="C27" s="4" t="s">
        <v>315</v>
      </c>
      <c r="F27"/>
    </row>
    <row r="28" spans="1:6" ht="15.5" x14ac:dyDescent="0.35">
      <c r="A28" s="13" t="s">
        <v>303</v>
      </c>
      <c r="B28" s="27">
        <f>1/(2*PI()*(B27+B23)*B20)</f>
        <v>1136.8210220849667</v>
      </c>
      <c r="C28" s="4" t="s">
        <v>319</v>
      </c>
      <c r="F28"/>
    </row>
    <row r="29" spans="1:6" x14ac:dyDescent="0.35">
      <c r="A29" s="4"/>
      <c r="B29" s="27"/>
    </row>
    <row r="30" spans="1:6" x14ac:dyDescent="0.35">
      <c r="A30" s="4" t="s">
        <v>322</v>
      </c>
      <c r="E30"/>
    </row>
    <row r="31" spans="1:6" x14ac:dyDescent="0.35">
      <c r="A31" s="7" t="s">
        <v>307</v>
      </c>
      <c r="B31" s="11">
        <v>10000</v>
      </c>
      <c r="C31" s="4" t="s">
        <v>316</v>
      </c>
      <c r="F31"/>
    </row>
    <row r="33" spans="1:6" x14ac:dyDescent="0.35">
      <c r="A33" s="4" t="s">
        <v>320</v>
      </c>
      <c r="E33"/>
    </row>
    <row r="34" spans="1:6" x14ac:dyDescent="0.35">
      <c r="A34" s="7" t="s">
        <v>308</v>
      </c>
      <c r="B34" s="20">
        <v>1.4999999999999999E-8</v>
      </c>
      <c r="F34"/>
    </row>
    <row r="35" spans="1:6" ht="15.5" x14ac:dyDescent="0.35">
      <c r="A35" s="13" t="s">
        <v>317</v>
      </c>
      <c r="B35" s="27">
        <f>1/(2*PI()*B31*B34)</f>
        <v>1061.032953945969</v>
      </c>
      <c r="C35" s="4" t="s">
        <v>318</v>
      </c>
    </row>
    <row r="37" spans="1:6" x14ac:dyDescent="0.35">
      <c r="A37" s="4" t="s">
        <v>313</v>
      </c>
    </row>
    <row r="38" spans="1:6" x14ac:dyDescent="0.35">
      <c r="A38" s="4" t="s">
        <v>309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27B9A-E262-453E-AC6A-96A6124C11B0}">
  <sheetPr codeName="Sheet18">
    <tabColor theme="5" tint="0.59999389629810485"/>
  </sheetPr>
  <dimension ref="A1:F36"/>
  <sheetViews>
    <sheetView zoomScale="85" zoomScaleNormal="85" workbookViewId="0">
      <selection activeCell="J18" sqref="J18"/>
    </sheetView>
  </sheetViews>
  <sheetFormatPr defaultColWidth="8.81640625" defaultRowHeight="14.5" x14ac:dyDescent="0.35"/>
  <cols>
    <col min="1" max="1" width="15.81640625" style="1" customWidth="1"/>
    <col min="2" max="2" width="10.7265625" style="1" bestFit="1" customWidth="1"/>
    <col min="3" max="3" width="8.81640625" style="4"/>
    <col min="4" max="16384" width="8.81640625" style="1"/>
  </cols>
  <sheetData>
    <row r="1" spans="1:5" ht="18.5" x14ac:dyDescent="0.45">
      <c r="A1" s="2" t="s">
        <v>294</v>
      </c>
    </row>
    <row r="2" spans="1:5" x14ac:dyDescent="0.35">
      <c r="A2" s="3"/>
      <c r="D2" s="9"/>
      <c r="E2" s="4" t="s">
        <v>6</v>
      </c>
    </row>
    <row r="3" spans="1:5" x14ac:dyDescent="0.35">
      <c r="D3" s="14"/>
      <c r="E3" s="10" t="s">
        <v>7</v>
      </c>
    </row>
    <row r="4" spans="1:5" x14ac:dyDescent="0.35">
      <c r="D4" s="10"/>
      <c r="E4" s="10"/>
    </row>
    <row r="5" spans="1:5" x14ac:dyDescent="0.35">
      <c r="D5" s="10"/>
      <c r="E5" s="10"/>
    </row>
    <row r="6" spans="1:5" x14ac:dyDescent="0.35">
      <c r="D6" s="10"/>
      <c r="E6" s="10"/>
    </row>
    <row r="7" spans="1:5" x14ac:dyDescent="0.35">
      <c r="D7" s="10"/>
      <c r="E7" s="10"/>
    </row>
    <row r="8" spans="1:5" x14ac:dyDescent="0.35">
      <c r="D8" s="10"/>
      <c r="E8" s="10"/>
    </row>
    <row r="9" spans="1:5" x14ac:dyDescent="0.35">
      <c r="D9" s="10"/>
      <c r="E9" s="10"/>
    </row>
    <row r="10" spans="1:5" x14ac:dyDescent="0.35">
      <c r="D10" s="10"/>
      <c r="E10" s="10"/>
    </row>
    <row r="11" spans="1:5" x14ac:dyDescent="0.35">
      <c r="D11" s="10"/>
      <c r="E11" s="10"/>
    </row>
    <row r="12" spans="1:5" x14ac:dyDescent="0.35">
      <c r="D12" s="10"/>
      <c r="E12" s="10"/>
    </row>
    <row r="13" spans="1:5" x14ac:dyDescent="0.35">
      <c r="D13" s="10"/>
      <c r="E13" s="10"/>
    </row>
    <row r="14" spans="1:5" x14ac:dyDescent="0.35">
      <c r="D14" s="10"/>
      <c r="E14" s="10"/>
    </row>
    <row r="16" spans="1:5" x14ac:dyDescent="0.35">
      <c r="A16" s="4" t="s">
        <v>250</v>
      </c>
      <c r="E16"/>
    </row>
    <row r="17" spans="1:6" x14ac:dyDescent="0.35">
      <c r="A17" s="7" t="s">
        <v>223</v>
      </c>
      <c r="B17" s="18">
        <v>5</v>
      </c>
      <c r="F17"/>
    </row>
    <row r="18" spans="1:6" x14ac:dyDescent="0.35">
      <c r="A18" s="4" t="s">
        <v>251</v>
      </c>
      <c r="E18"/>
    </row>
    <row r="19" spans="1:6" x14ac:dyDescent="0.35">
      <c r="A19" s="7" t="s">
        <v>214</v>
      </c>
      <c r="B19" s="1">
        <v>3000</v>
      </c>
      <c r="F19"/>
    </row>
    <row r="20" spans="1:6" x14ac:dyDescent="0.35">
      <c r="A20" s="7" t="s">
        <v>211</v>
      </c>
      <c r="B20" s="1">
        <v>1000</v>
      </c>
      <c r="F20"/>
    </row>
    <row r="21" spans="1:6" x14ac:dyDescent="0.35">
      <c r="A21" s="7" t="s">
        <v>222</v>
      </c>
      <c r="B21" s="1">
        <v>1000</v>
      </c>
      <c r="F21"/>
    </row>
    <row r="23" spans="1:6" x14ac:dyDescent="0.35">
      <c r="A23" s="4" t="s">
        <v>225</v>
      </c>
    </row>
    <row r="24" spans="1:6" x14ac:dyDescent="0.35">
      <c r="A24" s="13" t="s">
        <v>215</v>
      </c>
      <c r="B24" s="6">
        <f>$B$17*($B$20+$B$21)/($B$19+$B$20+$B$21)</f>
        <v>2</v>
      </c>
      <c r="C24" s="4" t="s">
        <v>216</v>
      </c>
    </row>
    <row r="25" spans="1:6" x14ac:dyDescent="0.35">
      <c r="A25" s="13" t="s">
        <v>215</v>
      </c>
      <c r="B25" s="6">
        <f>$B$17*($B$21)/($B$19+$B$20+$B$21)</f>
        <v>1</v>
      </c>
      <c r="C25" s="4" t="s">
        <v>217</v>
      </c>
    </row>
    <row r="28" spans="1:6" x14ac:dyDescent="0.35">
      <c r="A28" s="4" t="s">
        <v>224</v>
      </c>
    </row>
    <row r="29" spans="1:6" x14ac:dyDescent="0.35">
      <c r="A29" s="7" t="s">
        <v>218</v>
      </c>
      <c r="B29" s="20">
        <v>9.9999999999999995E-8</v>
      </c>
      <c r="C29" s="4" t="s">
        <v>226</v>
      </c>
    </row>
    <row r="30" spans="1:6" x14ac:dyDescent="0.35">
      <c r="A30" s="13" t="s">
        <v>213</v>
      </c>
      <c r="B30" s="27">
        <f>B19+B20+B21</f>
        <v>5000</v>
      </c>
      <c r="C30" s="4" t="s">
        <v>258</v>
      </c>
    </row>
    <row r="31" spans="1:6" ht="15.5" x14ac:dyDescent="0.35">
      <c r="A31" s="13" t="s">
        <v>219</v>
      </c>
      <c r="B31" s="27">
        <f>1/(2*PI()*$B$29*$B$30)</f>
        <v>318.30988618379064</v>
      </c>
      <c r="C31" s="4" t="s">
        <v>256</v>
      </c>
    </row>
    <row r="33" spans="1:3" x14ac:dyDescent="0.35">
      <c r="A33" s="4" t="s">
        <v>252</v>
      </c>
    </row>
    <row r="34" spans="1:3" x14ac:dyDescent="0.35">
      <c r="A34" s="7" t="s">
        <v>212</v>
      </c>
      <c r="B34" s="20">
        <v>1.0000000000000001E-9</v>
      </c>
      <c r="C34" s="4" t="s">
        <v>227</v>
      </c>
    </row>
    <row r="35" spans="1:3" x14ac:dyDescent="0.35">
      <c r="A35" s="13" t="s">
        <v>220</v>
      </c>
      <c r="B35" s="27">
        <f>1/(1/B19+1/(B20+B21))</f>
        <v>1200</v>
      </c>
      <c r="C35" s="4" t="s">
        <v>221</v>
      </c>
    </row>
    <row r="36" spans="1:3" ht="15.5" x14ac:dyDescent="0.35">
      <c r="A36" s="13" t="s">
        <v>219</v>
      </c>
      <c r="B36" s="27">
        <f>1/(2*PI()*$B$34*$B$35)</f>
        <v>132629.11924324612</v>
      </c>
      <c r="C36" s="4" t="s">
        <v>257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FF5AC-4D94-408C-8AC5-BF53BAED9976}">
  <sheetPr codeName="Sheet11">
    <tabColor theme="5" tint="0.59999389629810485"/>
  </sheetPr>
  <dimension ref="A1:F30"/>
  <sheetViews>
    <sheetView zoomScale="85" zoomScaleNormal="85" workbookViewId="0">
      <selection activeCell="I14" sqref="I14"/>
    </sheetView>
  </sheetViews>
  <sheetFormatPr defaultColWidth="8.81640625" defaultRowHeight="14.5" x14ac:dyDescent="0.35"/>
  <cols>
    <col min="1" max="1" width="12.1796875" style="1" customWidth="1"/>
    <col min="2" max="2" width="8.81640625" style="1"/>
    <col min="3" max="3" width="8.81640625" style="4"/>
    <col min="4" max="16384" width="8.81640625" style="1"/>
  </cols>
  <sheetData>
    <row r="1" spans="1:5" ht="18.5" x14ac:dyDescent="0.45">
      <c r="A1" s="2" t="s">
        <v>229</v>
      </c>
    </row>
    <row r="2" spans="1:5" x14ac:dyDescent="0.35">
      <c r="A2" s="3"/>
      <c r="D2" s="9"/>
      <c r="E2" s="4" t="s">
        <v>6</v>
      </c>
    </row>
    <row r="3" spans="1:5" x14ac:dyDescent="0.35">
      <c r="D3" s="14"/>
      <c r="E3" s="10" t="s">
        <v>7</v>
      </c>
    </row>
    <row r="4" spans="1:5" x14ac:dyDescent="0.35">
      <c r="D4" s="10"/>
      <c r="E4" s="10"/>
    </row>
    <row r="5" spans="1:5" x14ac:dyDescent="0.35">
      <c r="D5" s="10"/>
      <c r="E5" s="10"/>
    </row>
    <row r="6" spans="1:5" x14ac:dyDescent="0.35">
      <c r="D6" s="10"/>
      <c r="E6" s="10"/>
    </row>
    <row r="7" spans="1:5" x14ac:dyDescent="0.35">
      <c r="D7" s="10"/>
      <c r="E7" s="10"/>
    </row>
    <row r="8" spans="1:5" x14ac:dyDescent="0.35">
      <c r="B8"/>
      <c r="D8" s="10"/>
      <c r="E8" s="10"/>
    </row>
    <row r="9" spans="1:5" x14ac:dyDescent="0.35">
      <c r="D9" s="10"/>
      <c r="E9" s="10"/>
    </row>
    <row r="10" spans="1:5" x14ac:dyDescent="0.35">
      <c r="D10" s="10"/>
      <c r="E10" s="10"/>
    </row>
    <row r="11" spans="1:5" x14ac:dyDescent="0.35">
      <c r="D11" s="10"/>
      <c r="E11" s="10"/>
    </row>
    <row r="12" spans="1:5" x14ac:dyDescent="0.35">
      <c r="D12" s="10"/>
      <c r="E12" s="10"/>
    </row>
    <row r="16" spans="1:5" x14ac:dyDescent="0.35">
      <c r="A16" s="4" t="s">
        <v>113</v>
      </c>
      <c r="E16"/>
    </row>
    <row r="17" spans="1:6" x14ac:dyDescent="0.35">
      <c r="A17" s="7" t="s">
        <v>15</v>
      </c>
      <c r="B17" s="6">
        <v>1.25</v>
      </c>
      <c r="F17"/>
    </row>
    <row r="18" spans="1:6" x14ac:dyDescent="0.35">
      <c r="A18" s="7" t="s">
        <v>0</v>
      </c>
      <c r="B18" s="1">
        <v>1000</v>
      </c>
      <c r="F18"/>
    </row>
    <row r="19" spans="1:6" x14ac:dyDescent="0.35">
      <c r="A19" s="7" t="s">
        <v>1</v>
      </c>
      <c r="B19" s="1">
        <v>3010</v>
      </c>
    </row>
    <row r="21" spans="1:6" x14ac:dyDescent="0.35">
      <c r="A21" s="4" t="s">
        <v>228</v>
      </c>
      <c r="E21"/>
    </row>
    <row r="22" spans="1:6" x14ac:dyDescent="0.35">
      <c r="A22" s="13" t="s">
        <v>5</v>
      </c>
      <c r="B22" s="18">
        <f>B17*(B19+B18)/B18</f>
        <v>5.0125000000000002</v>
      </c>
      <c r="C22" s="4" t="s">
        <v>20</v>
      </c>
    </row>
    <row r="25" spans="1:6" x14ac:dyDescent="0.35">
      <c r="A25" s="4" t="s">
        <v>2</v>
      </c>
      <c r="E25"/>
    </row>
    <row r="26" spans="1:6" x14ac:dyDescent="0.35">
      <c r="A26" s="7" t="s">
        <v>15</v>
      </c>
      <c r="B26" s="6">
        <v>1.25</v>
      </c>
      <c r="F26"/>
    </row>
    <row r="27" spans="1:6" x14ac:dyDescent="0.35">
      <c r="A27" s="7" t="s">
        <v>5</v>
      </c>
      <c r="B27" s="18">
        <v>5</v>
      </c>
      <c r="F27"/>
    </row>
    <row r="28" spans="1:6" x14ac:dyDescent="0.35">
      <c r="A28" s="7" t="s">
        <v>0</v>
      </c>
      <c r="B28" s="1">
        <v>1000</v>
      </c>
    </row>
    <row r="29" spans="1:6" x14ac:dyDescent="0.35">
      <c r="A29" s="13" t="s">
        <v>16</v>
      </c>
      <c r="B29" s="18">
        <f>B27/B26</f>
        <v>4</v>
      </c>
      <c r="C29" s="4" t="s">
        <v>17</v>
      </c>
    </row>
    <row r="30" spans="1:6" x14ac:dyDescent="0.35">
      <c r="A30" s="13" t="s">
        <v>1</v>
      </c>
      <c r="B30" s="11">
        <f>B28*(B29-1)</f>
        <v>3000</v>
      </c>
      <c r="C30" s="4" t="s">
        <v>18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D5308-EDCA-4DF5-81A0-2B03A4E4F4C4}">
  <sheetPr>
    <tabColor theme="5" tint="0.59999389629810485"/>
  </sheetPr>
  <dimension ref="A1:E31"/>
  <sheetViews>
    <sheetView zoomScale="85" zoomScaleNormal="85" workbookViewId="0">
      <selection activeCell="B31" sqref="B31"/>
    </sheetView>
  </sheetViews>
  <sheetFormatPr defaultRowHeight="14.5" x14ac:dyDescent="0.35"/>
  <cols>
    <col min="1" max="1" width="9.90625" customWidth="1"/>
    <col min="2" max="2" width="12" customWidth="1"/>
  </cols>
  <sheetData>
    <row r="1" spans="1:5" ht="18.5" x14ac:dyDescent="0.45">
      <c r="A1" s="8" t="s">
        <v>293</v>
      </c>
    </row>
    <row r="2" spans="1:5" x14ac:dyDescent="0.35">
      <c r="A2" s="3"/>
      <c r="D2" s="9"/>
      <c r="E2" s="4" t="s">
        <v>8</v>
      </c>
    </row>
    <row r="3" spans="1:5" x14ac:dyDescent="0.35">
      <c r="D3" s="14"/>
      <c r="E3" s="10" t="s">
        <v>9</v>
      </c>
    </row>
    <row r="8" spans="1:5" ht="15.5" x14ac:dyDescent="0.35">
      <c r="B8" s="26"/>
    </row>
    <row r="10" spans="1:5" x14ac:dyDescent="0.35">
      <c r="B10" s="25"/>
    </row>
    <row r="16" spans="1:5" x14ac:dyDescent="0.35">
      <c r="A16" t="s">
        <v>113</v>
      </c>
    </row>
    <row r="17" spans="1:3" x14ac:dyDescent="0.35">
      <c r="A17" s="15" t="s">
        <v>10</v>
      </c>
      <c r="B17" s="27">
        <v>200000</v>
      </c>
      <c r="C17" s="4"/>
    </row>
    <row r="18" spans="1:3" x14ac:dyDescent="0.35">
      <c r="A18" s="15" t="s">
        <v>11</v>
      </c>
      <c r="B18" s="20">
        <v>1.0000000000000001E-9</v>
      </c>
      <c r="C18" s="4"/>
    </row>
    <row r="19" spans="1:3" x14ac:dyDescent="0.35">
      <c r="A19" s="15" t="s">
        <v>21</v>
      </c>
      <c r="B19" s="18">
        <v>4.8</v>
      </c>
      <c r="C19" s="4" t="s">
        <v>263</v>
      </c>
    </row>
    <row r="21" spans="1:3" x14ac:dyDescent="0.35">
      <c r="A21" s="4" t="s">
        <v>260</v>
      </c>
    </row>
    <row r="22" spans="1:3" x14ac:dyDescent="0.35">
      <c r="A22" s="16" t="s">
        <v>259</v>
      </c>
      <c r="B22" s="6">
        <v>1.7</v>
      </c>
      <c r="C22" s="4" t="s">
        <v>253</v>
      </c>
    </row>
    <row r="23" spans="1:3" x14ac:dyDescent="0.35">
      <c r="A23" s="16" t="s">
        <v>63</v>
      </c>
      <c r="B23" s="6">
        <v>2.78</v>
      </c>
      <c r="C23" s="4" t="s">
        <v>254</v>
      </c>
    </row>
    <row r="25" spans="1:3" x14ac:dyDescent="0.35">
      <c r="A25" t="s">
        <v>261</v>
      </c>
    </row>
    <row r="26" spans="1:3" ht="15.5" x14ac:dyDescent="0.35">
      <c r="A26" s="16" t="s">
        <v>324</v>
      </c>
      <c r="B26" s="20">
        <f>$B$17*$B$18*LN(($B$19-$B$22)/($B$19-$B$23))</f>
        <v>8.5660920015597414E-5</v>
      </c>
      <c r="C26" s="4" t="s">
        <v>265</v>
      </c>
    </row>
    <row r="27" spans="1:3" ht="15.5" x14ac:dyDescent="0.35">
      <c r="A27" s="16" t="s">
        <v>325</v>
      </c>
      <c r="B27" s="20">
        <f>$B$17*$B$18*LN(($B$23)/($B$22))</f>
        <v>9.8364535328075063E-5</v>
      </c>
      <c r="C27" s="4" t="s">
        <v>264</v>
      </c>
    </row>
    <row r="29" spans="1:3" x14ac:dyDescent="0.35">
      <c r="A29" t="s">
        <v>262</v>
      </c>
    </row>
    <row r="30" spans="1:3" x14ac:dyDescent="0.35">
      <c r="A30" s="16" t="s">
        <v>64</v>
      </c>
      <c r="B30" s="20">
        <f>B26+B27</f>
        <v>1.8402545534367248E-4</v>
      </c>
      <c r="C30" t="s">
        <v>323</v>
      </c>
    </row>
    <row r="31" spans="1:3" x14ac:dyDescent="0.35">
      <c r="A31" s="16" t="s">
        <v>57</v>
      </c>
      <c r="B31" s="27">
        <f>1/B30</f>
        <v>5434.0308417249844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6B114-0A7A-4989-9704-AE9B793A0903}">
  <dimension ref="A1:F30"/>
  <sheetViews>
    <sheetView zoomScale="85" zoomScaleNormal="85" workbookViewId="0">
      <selection activeCell="F18" sqref="F18"/>
    </sheetView>
  </sheetViews>
  <sheetFormatPr defaultColWidth="8.81640625" defaultRowHeight="14.5" x14ac:dyDescent="0.35"/>
  <cols>
    <col min="1" max="1" width="12.1796875" style="1" customWidth="1"/>
    <col min="2" max="2" width="9.54296875" style="1" bestFit="1" customWidth="1"/>
    <col min="3" max="3" width="8.81640625" style="4"/>
    <col min="4" max="16384" width="8.81640625" style="1"/>
  </cols>
  <sheetData>
    <row r="1" spans="1:6" ht="18.5" x14ac:dyDescent="0.45">
      <c r="A1" s="2" t="s">
        <v>297</v>
      </c>
    </row>
    <row r="2" spans="1:6" x14ac:dyDescent="0.35">
      <c r="A2" s="3"/>
      <c r="D2" s="9"/>
      <c r="E2" s="4" t="s">
        <v>6</v>
      </c>
    </row>
    <row r="3" spans="1:6" x14ac:dyDescent="0.35">
      <c r="D3" s="14"/>
      <c r="E3" s="10" t="s">
        <v>7</v>
      </c>
    </row>
    <row r="4" spans="1:6" x14ac:dyDescent="0.35">
      <c r="D4" s="10"/>
      <c r="E4" s="10"/>
    </row>
    <row r="5" spans="1:6" x14ac:dyDescent="0.35">
      <c r="B5"/>
      <c r="D5" s="10"/>
      <c r="E5" s="10"/>
    </row>
    <row r="6" spans="1:6" x14ac:dyDescent="0.35">
      <c r="D6" s="10"/>
      <c r="E6" s="10"/>
    </row>
    <row r="7" spans="1:6" x14ac:dyDescent="0.35">
      <c r="D7" s="10"/>
      <c r="E7" s="10"/>
    </row>
    <row r="8" spans="1:6" x14ac:dyDescent="0.35">
      <c r="B8"/>
      <c r="D8" s="10"/>
      <c r="E8" s="10"/>
    </row>
    <row r="9" spans="1:6" x14ac:dyDescent="0.35">
      <c r="D9" s="10"/>
      <c r="E9" s="10"/>
    </row>
    <row r="10" spans="1:6" x14ac:dyDescent="0.35">
      <c r="D10" s="10"/>
      <c r="E10" s="10"/>
    </row>
    <row r="11" spans="1:6" x14ac:dyDescent="0.35">
      <c r="D11" s="10"/>
      <c r="E11" s="10"/>
    </row>
    <row r="12" spans="1:6" x14ac:dyDescent="0.35">
      <c r="D12" s="10"/>
      <c r="E12" s="10"/>
    </row>
    <row r="15" spans="1:6" x14ac:dyDescent="0.35">
      <c r="A15" s="4" t="s">
        <v>113</v>
      </c>
      <c r="E15"/>
    </row>
    <row r="16" spans="1:6" x14ac:dyDescent="0.35">
      <c r="A16" s="7" t="s">
        <v>83</v>
      </c>
      <c r="B16" s="6">
        <v>1</v>
      </c>
      <c r="F16"/>
    </row>
    <row r="17" spans="1:6" x14ac:dyDescent="0.35">
      <c r="A17" s="7" t="s">
        <v>0</v>
      </c>
      <c r="B17" s="27">
        <v>10000</v>
      </c>
      <c r="F17"/>
    </row>
    <row r="18" spans="1:6" x14ac:dyDescent="0.35">
      <c r="A18" s="7" t="s">
        <v>1</v>
      </c>
      <c r="B18" s="27">
        <v>20000</v>
      </c>
    </row>
    <row r="20" spans="1:6" x14ac:dyDescent="0.35">
      <c r="A20" s="4" t="s">
        <v>144</v>
      </c>
      <c r="E20"/>
    </row>
    <row r="21" spans="1:6" x14ac:dyDescent="0.35">
      <c r="A21" s="13" t="s">
        <v>16</v>
      </c>
      <c r="B21" s="18">
        <f>-B18/B17</f>
        <v>-2</v>
      </c>
      <c r="C21" s="22" t="s">
        <v>53</v>
      </c>
    </row>
    <row r="22" spans="1:6" x14ac:dyDescent="0.35">
      <c r="A22" s="13" t="s">
        <v>85</v>
      </c>
      <c r="B22" s="18">
        <f>B16*B21</f>
        <v>-2</v>
      </c>
      <c r="C22" s="4" t="s">
        <v>82</v>
      </c>
    </row>
    <row r="25" spans="1:6" x14ac:dyDescent="0.35">
      <c r="A25" s="4" t="s">
        <v>2</v>
      </c>
      <c r="E25"/>
    </row>
    <row r="26" spans="1:6" x14ac:dyDescent="0.35">
      <c r="A26" s="7" t="s">
        <v>83</v>
      </c>
      <c r="B26" s="6">
        <v>1</v>
      </c>
      <c r="F26"/>
    </row>
    <row r="27" spans="1:6" x14ac:dyDescent="0.35">
      <c r="A27" s="7" t="s">
        <v>85</v>
      </c>
      <c r="B27" s="18">
        <v>-10</v>
      </c>
      <c r="F27"/>
    </row>
    <row r="28" spans="1:6" x14ac:dyDescent="0.35">
      <c r="A28" s="7" t="s">
        <v>0</v>
      </c>
      <c r="B28" s="27">
        <v>1000</v>
      </c>
    </row>
    <row r="29" spans="1:6" x14ac:dyDescent="0.35">
      <c r="A29" s="13" t="s">
        <v>16</v>
      </c>
      <c r="B29" s="18">
        <f>B27/B26</f>
        <v>-10</v>
      </c>
      <c r="C29" s="4" t="s">
        <v>17</v>
      </c>
    </row>
    <row r="30" spans="1:6" x14ac:dyDescent="0.35">
      <c r="A30" s="13" t="s">
        <v>1</v>
      </c>
      <c r="B30" s="27">
        <f>-B28*B29</f>
        <v>10000</v>
      </c>
      <c r="C30" s="22" t="s">
        <v>84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413D-3421-449C-A4D1-505BEF8B3643}">
  <dimension ref="A1:G32"/>
  <sheetViews>
    <sheetView zoomScale="85" zoomScaleNormal="85" workbookViewId="0">
      <selection activeCell="I14" sqref="I14"/>
    </sheetView>
  </sheetViews>
  <sheetFormatPr defaultColWidth="8.81640625" defaultRowHeight="14.5" x14ac:dyDescent="0.35"/>
  <cols>
    <col min="1" max="1" width="9.81640625" style="1" customWidth="1"/>
    <col min="2" max="2" width="9.54296875" style="1" bestFit="1" customWidth="1"/>
    <col min="3" max="3" width="8.81640625" style="4"/>
    <col min="4" max="16384" width="8.81640625" style="1"/>
  </cols>
  <sheetData>
    <row r="1" spans="1:5" ht="18.5" x14ac:dyDescent="0.45">
      <c r="A1" s="2" t="s">
        <v>49</v>
      </c>
    </row>
    <row r="2" spans="1:5" x14ac:dyDescent="0.35">
      <c r="A2" s="3"/>
      <c r="D2" s="9"/>
      <c r="E2" s="4" t="s">
        <v>6</v>
      </c>
    </row>
    <row r="3" spans="1:5" x14ac:dyDescent="0.35">
      <c r="D3" s="14"/>
      <c r="E3" s="10" t="s">
        <v>7</v>
      </c>
    </row>
    <row r="4" spans="1:5" x14ac:dyDescent="0.35">
      <c r="D4" s="10"/>
      <c r="E4" s="10"/>
    </row>
    <row r="5" spans="1:5" x14ac:dyDescent="0.35">
      <c r="B5"/>
      <c r="D5" s="10"/>
      <c r="E5" s="10"/>
    </row>
    <row r="6" spans="1:5" x14ac:dyDescent="0.35">
      <c r="D6" s="10"/>
      <c r="E6" s="10"/>
    </row>
    <row r="7" spans="1:5" x14ac:dyDescent="0.35">
      <c r="D7" s="10"/>
      <c r="E7" s="10"/>
    </row>
    <row r="8" spans="1:5" x14ac:dyDescent="0.35">
      <c r="B8"/>
      <c r="D8" s="10"/>
      <c r="E8" s="10"/>
    </row>
    <row r="9" spans="1:5" x14ac:dyDescent="0.35">
      <c r="D9" s="10"/>
      <c r="E9" s="10"/>
    </row>
    <row r="10" spans="1:5" x14ac:dyDescent="0.35">
      <c r="D10" s="10"/>
      <c r="E10" s="10"/>
    </row>
    <row r="11" spans="1:5" x14ac:dyDescent="0.35">
      <c r="D11" s="10"/>
      <c r="E11" s="10"/>
    </row>
    <row r="12" spans="1:5" x14ac:dyDescent="0.35">
      <c r="D12" s="10"/>
      <c r="E12" s="10"/>
    </row>
    <row r="17" spans="1:7" x14ac:dyDescent="0.35">
      <c r="A17" s="4" t="s">
        <v>113</v>
      </c>
      <c r="E17"/>
    </row>
    <row r="18" spans="1:7" customFormat="1" x14ac:dyDescent="0.35">
      <c r="A18" s="7" t="s">
        <v>0</v>
      </c>
      <c r="B18" s="27">
        <v>100000</v>
      </c>
      <c r="C18" t="s">
        <v>38</v>
      </c>
    </row>
    <row r="19" spans="1:7" customFormat="1" x14ac:dyDescent="0.35">
      <c r="A19" s="7" t="s">
        <v>1</v>
      </c>
      <c r="B19" s="27">
        <v>100000</v>
      </c>
      <c r="C19" t="s">
        <v>38</v>
      </c>
    </row>
    <row r="20" spans="1:7" customFormat="1" x14ac:dyDescent="0.35">
      <c r="A20" s="7" t="s">
        <v>3</v>
      </c>
      <c r="B20" s="27">
        <v>100000</v>
      </c>
      <c r="C20" t="s">
        <v>38</v>
      </c>
    </row>
    <row r="21" spans="1:7" customFormat="1" x14ac:dyDescent="0.35">
      <c r="A21" s="7" t="s">
        <v>50</v>
      </c>
      <c r="B21" s="27">
        <v>100000</v>
      </c>
      <c r="C21" t="s">
        <v>38</v>
      </c>
    </row>
    <row r="22" spans="1:7" customFormat="1" x14ac:dyDescent="0.35">
      <c r="B22" s="1"/>
    </row>
    <row r="23" spans="1:7" x14ac:dyDescent="0.35">
      <c r="A23" s="4" t="s">
        <v>145</v>
      </c>
      <c r="E23"/>
    </row>
    <row r="24" spans="1:7" customFormat="1" x14ac:dyDescent="0.35">
      <c r="A24" s="7" t="s">
        <v>148</v>
      </c>
      <c r="B24" s="6">
        <v>5</v>
      </c>
      <c r="C24" t="s">
        <v>54</v>
      </c>
    </row>
    <row r="25" spans="1:7" customFormat="1" x14ac:dyDescent="0.35">
      <c r="A25" s="7" t="s">
        <v>149</v>
      </c>
      <c r="B25" s="6">
        <v>4.5</v>
      </c>
      <c r="C25" t="s">
        <v>55</v>
      </c>
    </row>
    <row r="26" spans="1:7" customFormat="1" x14ac:dyDescent="0.35">
      <c r="B26" s="1"/>
    </row>
    <row r="27" spans="1:7" customFormat="1" x14ac:dyDescent="0.35">
      <c r="A27" s="4" t="s">
        <v>146</v>
      </c>
      <c r="G27" s="24"/>
    </row>
    <row r="28" spans="1:7" customFormat="1" x14ac:dyDescent="0.35">
      <c r="A28" s="13" t="s">
        <v>52</v>
      </c>
      <c r="B28" s="6">
        <f>$B$21/($B$20+$B$21)*($B$18+$B$19)/$B$18</f>
        <v>1</v>
      </c>
      <c r="C28" t="s">
        <v>51</v>
      </c>
      <c r="G28" s="24"/>
    </row>
    <row r="29" spans="1:7" customFormat="1" x14ac:dyDescent="0.35">
      <c r="A29" s="13" t="s">
        <v>23</v>
      </c>
      <c r="B29" s="6">
        <f>-$B$19/$B$18</f>
        <v>-1</v>
      </c>
      <c r="C29" s="17" t="s">
        <v>53</v>
      </c>
      <c r="G29" s="24"/>
    </row>
    <row r="31" spans="1:7" x14ac:dyDescent="0.35">
      <c r="A31" s="4" t="s">
        <v>147</v>
      </c>
      <c r="B31"/>
      <c r="C31"/>
    </row>
    <row r="32" spans="1:7" x14ac:dyDescent="0.35">
      <c r="A32" s="13" t="s">
        <v>56</v>
      </c>
      <c r="B32" s="6">
        <f>(B24)*B28+(B25)*B29</f>
        <v>0.5</v>
      </c>
      <c r="C32" t="s">
        <v>150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0A0B-296B-4041-ABBC-67E51D42E2D4}">
  <dimension ref="A1:G36"/>
  <sheetViews>
    <sheetView zoomScale="85" zoomScaleNormal="85" workbookViewId="0">
      <selection activeCell="A4" sqref="A4"/>
    </sheetView>
  </sheetViews>
  <sheetFormatPr defaultColWidth="8.81640625" defaultRowHeight="14.5" x14ac:dyDescent="0.35"/>
  <cols>
    <col min="1" max="1" width="9.81640625" style="1" customWidth="1"/>
    <col min="2" max="2" width="9.54296875" style="1" bestFit="1" customWidth="1"/>
    <col min="3" max="3" width="8.81640625" style="4"/>
    <col min="4" max="16384" width="8.81640625" style="1"/>
  </cols>
  <sheetData>
    <row r="1" spans="1:5" ht="18.5" x14ac:dyDescent="0.45">
      <c r="A1" s="2" t="s">
        <v>296</v>
      </c>
    </row>
    <row r="2" spans="1:5" x14ac:dyDescent="0.35">
      <c r="A2" s="3"/>
      <c r="D2" s="9"/>
      <c r="E2" s="4" t="s">
        <v>6</v>
      </c>
    </row>
    <row r="3" spans="1:5" x14ac:dyDescent="0.35">
      <c r="D3" s="14"/>
      <c r="E3" s="10" t="s">
        <v>7</v>
      </c>
    </row>
    <row r="4" spans="1:5" x14ac:dyDescent="0.35">
      <c r="D4" s="10"/>
      <c r="E4" s="10"/>
    </row>
    <row r="5" spans="1:5" x14ac:dyDescent="0.35">
      <c r="B5"/>
      <c r="D5" s="10"/>
      <c r="E5" s="10"/>
    </row>
    <row r="6" spans="1:5" x14ac:dyDescent="0.35">
      <c r="D6" s="10"/>
      <c r="E6" s="10"/>
    </row>
    <row r="7" spans="1:5" x14ac:dyDescent="0.35">
      <c r="D7" s="10"/>
      <c r="E7" s="10"/>
    </row>
    <row r="8" spans="1:5" x14ac:dyDescent="0.35">
      <c r="B8"/>
      <c r="D8" s="10"/>
      <c r="E8" s="10"/>
    </row>
    <row r="9" spans="1:5" x14ac:dyDescent="0.35">
      <c r="D9" s="10"/>
      <c r="E9" s="10"/>
    </row>
    <row r="10" spans="1:5" x14ac:dyDescent="0.35">
      <c r="D10" s="10"/>
      <c r="E10" s="10"/>
    </row>
    <row r="11" spans="1:5" x14ac:dyDescent="0.35">
      <c r="D11" s="10"/>
      <c r="E11" s="10"/>
    </row>
    <row r="12" spans="1:5" x14ac:dyDescent="0.35">
      <c r="D12" s="10"/>
      <c r="E12" s="10"/>
    </row>
    <row r="17" spans="1:7" x14ac:dyDescent="0.35">
      <c r="A17" s="4" t="s">
        <v>151</v>
      </c>
      <c r="E17"/>
    </row>
    <row r="18" spans="1:7" customFormat="1" x14ac:dyDescent="0.35">
      <c r="A18" s="7" t="s">
        <v>73</v>
      </c>
      <c r="B18" s="6">
        <v>5</v>
      </c>
      <c r="C18" t="s">
        <v>38</v>
      </c>
    </row>
    <row r="19" spans="1:7" customFormat="1" x14ac:dyDescent="0.35">
      <c r="A19" s="7" t="s">
        <v>0</v>
      </c>
      <c r="B19" s="1">
        <v>200000</v>
      </c>
      <c r="C19" t="s">
        <v>38</v>
      </c>
    </row>
    <row r="21" spans="1:7" customFormat="1" x14ac:dyDescent="0.35">
      <c r="A21" s="7" t="s">
        <v>74</v>
      </c>
      <c r="B21" s="6">
        <v>-1</v>
      </c>
      <c r="C21" t="s">
        <v>38</v>
      </c>
    </row>
    <row r="22" spans="1:7" customFormat="1" x14ac:dyDescent="0.35">
      <c r="A22" s="7" t="s">
        <v>1</v>
      </c>
      <c r="B22" s="1">
        <v>100000</v>
      </c>
      <c r="C22" t="s">
        <v>38</v>
      </c>
    </row>
    <row r="23" spans="1:7" customFormat="1" x14ac:dyDescent="0.35">
      <c r="B23" s="1"/>
    </row>
    <row r="24" spans="1:7" x14ac:dyDescent="0.35">
      <c r="A24" s="4" t="s">
        <v>152</v>
      </c>
      <c r="E24"/>
    </row>
    <row r="25" spans="1:7" customFormat="1" x14ac:dyDescent="0.35">
      <c r="A25" s="7" t="s">
        <v>3</v>
      </c>
      <c r="B25" s="1">
        <v>100000</v>
      </c>
      <c r="C25" t="s">
        <v>38</v>
      </c>
    </row>
    <row r="26" spans="1:7" customFormat="1" x14ac:dyDescent="0.35">
      <c r="B26" s="1"/>
    </row>
    <row r="27" spans="1:7" customFormat="1" x14ac:dyDescent="0.35">
      <c r="A27" s="4" t="s">
        <v>153</v>
      </c>
      <c r="G27" s="24"/>
    </row>
    <row r="28" spans="1:7" customFormat="1" x14ac:dyDescent="0.35">
      <c r="A28" s="13" t="s">
        <v>76</v>
      </c>
      <c r="B28" s="18">
        <f>-$B$25/$B$19</f>
        <v>-0.5</v>
      </c>
      <c r="C28" s="17" t="s">
        <v>89</v>
      </c>
      <c r="G28" s="24"/>
    </row>
    <row r="29" spans="1:7" customFormat="1" x14ac:dyDescent="0.35">
      <c r="A29" s="13" t="s">
        <v>77</v>
      </c>
      <c r="B29" s="18">
        <f>-$B$25/$B$22</f>
        <v>-1</v>
      </c>
      <c r="C29" s="17" t="s">
        <v>90</v>
      </c>
      <c r="G29" s="24"/>
    </row>
    <row r="31" spans="1:7" x14ac:dyDescent="0.35">
      <c r="A31" s="4" t="s">
        <v>154</v>
      </c>
      <c r="B31"/>
      <c r="C31"/>
    </row>
    <row r="32" spans="1:7" x14ac:dyDescent="0.35">
      <c r="A32" s="13" t="s">
        <v>80</v>
      </c>
      <c r="B32" s="6">
        <f>B18*B28</f>
        <v>-2.5</v>
      </c>
      <c r="C32" t="s">
        <v>75</v>
      </c>
    </row>
    <row r="33" spans="1:3" x14ac:dyDescent="0.35">
      <c r="A33" s="13" t="s">
        <v>81</v>
      </c>
      <c r="B33" s="6">
        <f>B21*B29</f>
        <v>1</v>
      </c>
      <c r="C33" t="s">
        <v>78</v>
      </c>
    </row>
    <row r="35" spans="1:3" x14ac:dyDescent="0.35">
      <c r="A35" s="4" t="s">
        <v>155</v>
      </c>
      <c r="B35"/>
      <c r="C35"/>
    </row>
    <row r="36" spans="1:3" x14ac:dyDescent="0.35">
      <c r="A36" s="13" t="s">
        <v>56</v>
      </c>
      <c r="B36" s="6">
        <f>B32+B33</f>
        <v>-1.5</v>
      </c>
      <c r="C36" t="s">
        <v>79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60A7-F510-4208-B12D-37B14E4F79D5}">
  <sheetPr codeName="Sheet7"/>
  <dimension ref="A1:F26"/>
  <sheetViews>
    <sheetView zoomScale="85" zoomScaleNormal="85" workbookViewId="0">
      <selection activeCell="K11" sqref="K11"/>
    </sheetView>
  </sheetViews>
  <sheetFormatPr defaultColWidth="8.81640625" defaultRowHeight="14.5" x14ac:dyDescent="0.35"/>
  <cols>
    <col min="1" max="1" width="12.1796875" style="1" customWidth="1"/>
    <col min="2" max="2" width="9.54296875" style="1" bestFit="1" customWidth="1"/>
    <col min="3" max="3" width="8.81640625" style="4"/>
    <col min="4" max="16384" width="8.81640625" style="1"/>
  </cols>
  <sheetData>
    <row r="1" spans="1:6" ht="18.5" x14ac:dyDescent="0.45">
      <c r="A1" s="2" t="s">
        <v>24</v>
      </c>
    </row>
    <row r="2" spans="1:6" x14ac:dyDescent="0.35">
      <c r="A2" s="3"/>
      <c r="D2" s="9"/>
      <c r="E2" s="4" t="s">
        <v>6</v>
      </c>
    </row>
    <row r="3" spans="1:6" x14ac:dyDescent="0.35">
      <c r="D3" s="14"/>
      <c r="E3" s="10" t="s">
        <v>7</v>
      </c>
    </row>
    <row r="4" spans="1:6" x14ac:dyDescent="0.35">
      <c r="D4" s="10"/>
      <c r="E4" s="10"/>
    </row>
    <row r="5" spans="1:6" x14ac:dyDescent="0.35">
      <c r="B5"/>
      <c r="D5" s="10"/>
      <c r="E5" s="10"/>
    </row>
    <row r="6" spans="1:6" x14ac:dyDescent="0.35">
      <c r="B6"/>
      <c r="D6" s="10"/>
      <c r="E6" s="10"/>
    </row>
    <row r="7" spans="1:6" x14ac:dyDescent="0.35">
      <c r="D7" s="10"/>
      <c r="E7" s="10"/>
    </row>
    <row r="8" spans="1:6" x14ac:dyDescent="0.35">
      <c r="B8"/>
      <c r="D8" s="10"/>
      <c r="E8" s="10"/>
    </row>
    <row r="9" spans="1:6" x14ac:dyDescent="0.35">
      <c r="D9" s="10"/>
      <c r="E9" s="10"/>
    </row>
    <row r="10" spans="1:6" x14ac:dyDescent="0.35">
      <c r="D10" s="10"/>
      <c r="E10" s="10"/>
    </row>
    <row r="11" spans="1:6" x14ac:dyDescent="0.35">
      <c r="D11" s="10"/>
      <c r="E11" s="10"/>
    </row>
    <row r="12" spans="1:6" x14ac:dyDescent="0.35">
      <c r="D12" s="10"/>
      <c r="E12" s="10"/>
    </row>
    <row r="15" spans="1:6" x14ac:dyDescent="0.35">
      <c r="A15" s="4" t="s">
        <v>113</v>
      </c>
      <c r="E15"/>
    </row>
    <row r="16" spans="1:6" x14ac:dyDescent="0.35">
      <c r="A16" s="7" t="s">
        <v>4</v>
      </c>
      <c r="B16" s="6">
        <v>0.25</v>
      </c>
      <c r="C16" s="4" t="s">
        <v>27</v>
      </c>
      <c r="F16"/>
    </row>
    <row r="17" spans="1:6" ht="16.5" x14ac:dyDescent="0.4">
      <c r="A17" s="21" t="s">
        <v>26</v>
      </c>
      <c r="B17" s="12">
        <v>1E-4</v>
      </c>
      <c r="C17" s="4" t="s">
        <v>28</v>
      </c>
      <c r="F17"/>
    </row>
    <row r="18" spans="1:6" x14ac:dyDescent="0.35">
      <c r="A18" s="7" t="s">
        <v>0</v>
      </c>
      <c r="B18" s="1">
        <v>100000</v>
      </c>
      <c r="F18"/>
    </row>
    <row r="19" spans="1:6" x14ac:dyDescent="0.35">
      <c r="A19" s="7" t="s">
        <v>25</v>
      </c>
      <c r="B19" s="20">
        <v>1E-10</v>
      </c>
    </row>
    <row r="21" spans="1:6" x14ac:dyDescent="0.35">
      <c r="A21" s="4" t="s">
        <v>157</v>
      </c>
      <c r="E21"/>
    </row>
    <row r="22" spans="1:6" x14ac:dyDescent="0.35">
      <c r="A22" s="13" t="s">
        <v>33</v>
      </c>
      <c r="B22" s="20">
        <f>B16/B18</f>
        <v>2.5000000000000002E-6</v>
      </c>
      <c r="C22" s="4" t="s">
        <v>36</v>
      </c>
    </row>
    <row r="23" spans="1:6" x14ac:dyDescent="0.35">
      <c r="A23" s="13" t="s">
        <v>29</v>
      </c>
      <c r="B23" s="20">
        <f>B22</f>
        <v>2.5000000000000002E-6</v>
      </c>
      <c r="C23" s="4" t="s">
        <v>33</v>
      </c>
    </row>
    <row r="25" spans="1:6" x14ac:dyDescent="0.35">
      <c r="A25" s="4" t="s">
        <v>156</v>
      </c>
      <c r="E25"/>
    </row>
    <row r="26" spans="1:6" x14ac:dyDescent="0.35">
      <c r="A26" s="13" t="s">
        <v>37</v>
      </c>
      <c r="B26" s="18">
        <f>-1/B19*B23*B17</f>
        <v>-2.5000000000000004</v>
      </c>
      <c r="C26" s="22" t="s">
        <v>30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C65E2-8689-42FD-862A-3C6C3C969E4A}">
  <sheetPr codeName="Sheet8"/>
  <dimension ref="A1:F52"/>
  <sheetViews>
    <sheetView zoomScale="85" zoomScaleNormal="85" workbookViewId="0">
      <selection activeCell="M12" sqref="M12"/>
    </sheetView>
  </sheetViews>
  <sheetFormatPr defaultColWidth="8.81640625" defaultRowHeight="14.5" x14ac:dyDescent="0.35"/>
  <cols>
    <col min="1" max="1" width="12.1796875" style="1" customWidth="1"/>
    <col min="2" max="2" width="15.08984375" style="1" customWidth="1"/>
    <col min="3" max="3" width="8.81640625" style="4"/>
    <col min="4" max="16384" width="8.81640625" style="1"/>
  </cols>
  <sheetData>
    <row r="1" spans="1:6" ht="18.5" x14ac:dyDescent="0.45">
      <c r="A1" s="2" t="s">
        <v>31</v>
      </c>
    </row>
    <row r="2" spans="1:6" x14ac:dyDescent="0.35">
      <c r="A2" s="3"/>
      <c r="D2" s="9"/>
      <c r="E2" s="4" t="s">
        <v>6</v>
      </c>
    </row>
    <row r="3" spans="1:6" x14ac:dyDescent="0.35">
      <c r="D3" s="14"/>
      <c r="E3" s="10" t="s">
        <v>7</v>
      </c>
    </row>
    <row r="4" spans="1:6" x14ac:dyDescent="0.35">
      <c r="D4" s="10"/>
      <c r="E4" s="10"/>
    </row>
    <row r="5" spans="1:6" x14ac:dyDescent="0.35">
      <c r="B5"/>
      <c r="D5" s="10"/>
      <c r="E5" s="10"/>
    </row>
    <row r="6" spans="1:6" x14ac:dyDescent="0.35">
      <c r="B6"/>
      <c r="D6" s="10"/>
      <c r="E6" s="10"/>
    </row>
    <row r="7" spans="1:6" x14ac:dyDescent="0.35">
      <c r="D7" s="10"/>
      <c r="E7" s="10"/>
    </row>
    <row r="8" spans="1:6" x14ac:dyDescent="0.35">
      <c r="B8"/>
      <c r="D8" s="10"/>
      <c r="E8" s="10"/>
    </row>
    <row r="9" spans="1:6" x14ac:dyDescent="0.35">
      <c r="D9" s="10"/>
      <c r="E9" s="10"/>
    </row>
    <row r="10" spans="1:6" x14ac:dyDescent="0.35">
      <c r="D10" s="10"/>
      <c r="E10" s="10"/>
    </row>
    <row r="11" spans="1:6" x14ac:dyDescent="0.35">
      <c r="D11" s="10"/>
      <c r="E11" s="10"/>
    </row>
    <row r="12" spans="1:6" x14ac:dyDescent="0.35">
      <c r="D12" s="10"/>
      <c r="E12" s="10"/>
    </row>
    <row r="15" spans="1:6" x14ac:dyDescent="0.35">
      <c r="A15" s="4" t="s">
        <v>248</v>
      </c>
      <c r="E15"/>
    </row>
    <row r="16" spans="1:6" x14ac:dyDescent="0.35">
      <c r="A16" s="7" t="s">
        <v>32</v>
      </c>
      <c r="B16" s="6">
        <v>0.25</v>
      </c>
      <c r="F16"/>
    </row>
    <row r="17" spans="1:6" ht="16.5" x14ac:dyDescent="0.4">
      <c r="A17" s="21" t="s">
        <v>26</v>
      </c>
      <c r="B17" s="12">
        <v>1E-4</v>
      </c>
      <c r="F17"/>
    </row>
    <row r="18" spans="1:6" x14ac:dyDescent="0.35">
      <c r="A18" s="4" t="s">
        <v>113</v>
      </c>
      <c r="E18"/>
    </row>
    <row r="19" spans="1:6" x14ac:dyDescent="0.35">
      <c r="A19" s="7" t="s">
        <v>25</v>
      </c>
      <c r="B19" s="20">
        <v>1E-8</v>
      </c>
    </row>
    <row r="20" spans="1:6" x14ac:dyDescent="0.35">
      <c r="A20" s="7" t="s">
        <v>0</v>
      </c>
      <c r="B20" s="1">
        <v>50000</v>
      </c>
      <c r="F20"/>
    </row>
    <row r="22" spans="1:6" x14ac:dyDescent="0.35">
      <c r="A22" s="4" t="s">
        <v>158</v>
      </c>
      <c r="E22"/>
    </row>
    <row r="23" spans="1:6" x14ac:dyDescent="0.35">
      <c r="A23" s="13" t="s">
        <v>29</v>
      </c>
      <c r="B23" s="20">
        <f>B19*B16/B17</f>
        <v>2.4999999999999998E-5</v>
      </c>
      <c r="C23" s="4" t="s">
        <v>34</v>
      </c>
    </row>
    <row r="24" spans="1:6" x14ac:dyDescent="0.35">
      <c r="A24" s="13" t="s">
        <v>33</v>
      </c>
      <c r="B24" s="20">
        <f>B23</f>
        <v>2.4999999999999998E-5</v>
      </c>
      <c r="C24" s="4" t="s">
        <v>159</v>
      </c>
    </row>
    <row r="26" spans="1:6" x14ac:dyDescent="0.35">
      <c r="A26" s="4" t="s">
        <v>156</v>
      </c>
      <c r="E26"/>
    </row>
    <row r="27" spans="1:6" x14ac:dyDescent="0.35">
      <c r="A27" s="13" t="s">
        <v>5</v>
      </c>
      <c r="B27" s="18">
        <f>-B24*B20</f>
        <v>-1.25</v>
      </c>
      <c r="C27" s="22" t="s">
        <v>35</v>
      </c>
    </row>
    <row r="32" spans="1:6" x14ac:dyDescent="0.35">
      <c r="A32" s="4" t="s">
        <v>240</v>
      </c>
    </row>
    <row r="33" spans="1:3" x14ac:dyDescent="0.35">
      <c r="A33" s="7" t="s">
        <v>223</v>
      </c>
      <c r="B33" s="18">
        <v>5</v>
      </c>
      <c r="C33" s="4" t="s">
        <v>238</v>
      </c>
    </row>
    <row r="34" spans="1:3" x14ac:dyDescent="0.35">
      <c r="A34" s="7" t="s">
        <v>230</v>
      </c>
      <c r="B34" s="27">
        <v>5000</v>
      </c>
      <c r="C34" s="4" t="s">
        <v>231</v>
      </c>
    </row>
    <row r="35" spans="1:3" x14ac:dyDescent="0.35">
      <c r="A35" s="13" t="s">
        <v>232</v>
      </c>
      <c r="B35" s="12">
        <f>1/B34</f>
        <v>2.0000000000000001E-4</v>
      </c>
      <c r="C35" s="4" t="s">
        <v>237</v>
      </c>
    </row>
    <row r="37" spans="1:3" x14ac:dyDescent="0.35">
      <c r="A37" s="4" t="s">
        <v>235</v>
      </c>
    </row>
    <row r="38" spans="1:3" x14ac:dyDescent="0.35">
      <c r="A38" s="7" t="s">
        <v>14</v>
      </c>
      <c r="B38" s="12">
        <f>0.001</f>
        <v>1E-3</v>
      </c>
      <c r="C38" s="4" t="s">
        <v>231</v>
      </c>
    </row>
    <row r="39" spans="1:3" x14ac:dyDescent="0.35">
      <c r="A39" s="4" t="s">
        <v>233</v>
      </c>
    </row>
    <row r="40" spans="1:3" x14ac:dyDescent="0.35">
      <c r="A40" s="7" t="s">
        <v>10</v>
      </c>
      <c r="B40" s="27">
        <v>1000</v>
      </c>
    </row>
    <row r="41" spans="1:3" x14ac:dyDescent="0.35">
      <c r="A41" s="4" t="s">
        <v>234</v>
      </c>
    </row>
    <row r="42" spans="1:3" x14ac:dyDescent="0.35">
      <c r="A42" s="13" t="s">
        <v>11</v>
      </c>
      <c r="B42" s="20">
        <f>B38/B40</f>
        <v>9.9999999999999995E-7</v>
      </c>
      <c r="C42" s="4" t="s">
        <v>236</v>
      </c>
    </row>
    <row r="44" spans="1:3" x14ac:dyDescent="0.35">
      <c r="A44" s="4" t="s">
        <v>241</v>
      </c>
    </row>
    <row r="45" spans="1:3" x14ac:dyDescent="0.35">
      <c r="A45" s="13" t="s">
        <v>239</v>
      </c>
      <c r="B45" s="1">
        <f>$B$33/2*1/$B$38</f>
        <v>2500</v>
      </c>
      <c r="C45" s="4" t="s">
        <v>242</v>
      </c>
    </row>
    <row r="47" spans="1:3" x14ac:dyDescent="0.35">
      <c r="A47" s="4" t="s">
        <v>243</v>
      </c>
    </row>
    <row r="48" spans="1:3" x14ac:dyDescent="0.35">
      <c r="A48" s="30" t="s">
        <v>244</v>
      </c>
      <c r="B48" s="12">
        <f>0.0001</f>
        <v>1E-4</v>
      </c>
    </row>
    <row r="49" spans="1:3" x14ac:dyDescent="0.35">
      <c r="A49" s="4" t="s">
        <v>245</v>
      </c>
    </row>
    <row r="50" spans="1:3" x14ac:dyDescent="0.35">
      <c r="A50" s="31" t="s">
        <v>246</v>
      </c>
      <c r="B50" s="12">
        <f>B48*B45</f>
        <v>0.25</v>
      </c>
      <c r="C50" s="4" t="s">
        <v>247</v>
      </c>
    </row>
    <row r="52" spans="1:3" x14ac:dyDescent="0.35">
      <c r="A52" s="4" t="s">
        <v>249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E7326-9B62-4C06-AA74-4CACEC897039}">
  <sheetPr codeName="Sheet23"/>
  <dimension ref="A1:E31"/>
  <sheetViews>
    <sheetView zoomScale="85" zoomScaleNormal="85" workbookViewId="0">
      <selection activeCell="A2" sqref="A2"/>
    </sheetView>
  </sheetViews>
  <sheetFormatPr defaultRowHeight="14.5" x14ac:dyDescent="0.35"/>
  <cols>
    <col min="1" max="1" width="13.54296875" customWidth="1"/>
    <col min="2" max="2" width="12" customWidth="1"/>
    <col min="5" max="5" width="10.08984375" bestFit="1" customWidth="1"/>
  </cols>
  <sheetData>
    <row r="1" spans="1:5" ht="18.5" x14ac:dyDescent="0.45">
      <c r="A1" s="8" t="s">
        <v>42</v>
      </c>
    </row>
    <row r="2" spans="1:5" x14ac:dyDescent="0.35">
      <c r="A2" s="3"/>
      <c r="D2" s="9"/>
      <c r="E2" s="4" t="s">
        <v>8</v>
      </c>
    </row>
    <row r="3" spans="1:5" x14ac:dyDescent="0.35">
      <c r="D3" s="14"/>
      <c r="E3" s="10" t="s">
        <v>9</v>
      </c>
    </row>
    <row r="17" spans="1:3" x14ac:dyDescent="0.35">
      <c r="A17" t="s">
        <v>161</v>
      </c>
    </row>
    <row r="18" spans="1:3" x14ac:dyDescent="0.35">
      <c r="A18" s="15" t="s">
        <v>43</v>
      </c>
      <c r="B18" s="27">
        <v>47000</v>
      </c>
      <c r="C18" s="4"/>
    </row>
    <row r="19" spans="1:3" x14ac:dyDescent="0.35">
      <c r="A19" s="15" t="s">
        <v>44</v>
      </c>
      <c r="B19" s="23">
        <v>1E-8</v>
      </c>
      <c r="C19" s="4"/>
    </row>
    <row r="21" spans="1:3" x14ac:dyDescent="0.35">
      <c r="A21" t="s">
        <v>160</v>
      </c>
    </row>
    <row r="22" spans="1:3" x14ac:dyDescent="0.35">
      <c r="A22" s="16" t="s">
        <v>13</v>
      </c>
      <c r="B22" s="5">
        <f>1/(2*PI()*B18*B19)</f>
        <v>338.62753849339435</v>
      </c>
      <c r="C22" s="4" t="s">
        <v>12</v>
      </c>
    </row>
    <row r="24" spans="1:3" x14ac:dyDescent="0.35">
      <c r="A24" t="s">
        <v>162</v>
      </c>
    </row>
    <row r="25" spans="1:3" x14ac:dyDescent="0.35">
      <c r="A25" s="15" t="s">
        <v>163</v>
      </c>
      <c r="B25" s="5">
        <v>4000</v>
      </c>
    </row>
    <row r="26" spans="1:3" x14ac:dyDescent="0.35">
      <c r="A26" s="15" t="s">
        <v>72</v>
      </c>
      <c r="B26" s="18">
        <v>4.8</v>
      </c>
    </row>
    <row r="28" spans="1:3" x14ac:dyDescent="0.35">
      <c r="A28" t="s">
        <v>164</v>
      </c>
    </row>
    <row r="29" spans="1:3" x14ac:dyDescent="0.35">
      <c r="A29" s="14" t="s">
        <v>91</v>
      </c>
      <c r="B29" s="5">
        <f>B25/B22</f>
        <v>11.812388377497621</v>
      </c>
      <c r="C29" t="s">
        <v>92</v>
      </c>
    </row>
    <row r="30" spans="1:3" x14ac:dyDescent="0.35">
      <c r="A30" s="14" t="s">
        <v>86</v>
      </c>
      <c r="B30" s="5">
        <f>-2*20*LOG10(B29)</f>
        <v>-42.893508704871792</v>
      </c>
      <c r="C30" s="28" t="s">
        <v>93</v>
      </c>
    </row>
    <row r="31" spans="1:3" x14ac:dyDescent="0.35">
      <c r="A31" s="14" t="s">
        <v>85</v>
      </c>
      <c r="B31" s="6">
        <f>B26*10^(B30/20)</f>
        <v>3.4400582947828585E-2</v>
      </c>
      <c r="C31" t="s">
        <v>94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1A32-8963-4852-93B5-6C8B37F86647}">
  <dimension ref="A1:E32"/>
  <sheetViews>
    <sheetView zoomScale="85" zoomScaleNormal="85" workbookViewId="0">
      <selection activeCell="H20" sqref="H20"/>
    </sheetView>
  </sheetViews>
  <sheetFormatPr defaultRowHeight="14.5" x14ac:dyDescent="0.35"/>
  <cols>
    <col min="1" max="1" width="9.90625" customWidth="1"/>
    <col min="2" max="2" width="12" customWidth="1"/>
  </cols>
  <sheetData>
    <row r="1" spans="1:5" ht="18.5" x14ac:dyDescent="0.45">
      <c r="A1" s="8" t="s">
        <v>295</v>
      </c>
    </row>
    <row r="2" spans="1:5" x14ac:dyDescent="0.35">
      <c r="A2" s="3"/>
      <c r="D2" s="9"/>
      <c r="E2" s="4" t="s">
        <v>8</v>
      </c>
    </row>
    <row r="3" spans="1:5" x14ac:dyDescent="0.35">
      <c r="D3" s="14"/>
      <c r="E3" s="10" t="s">
        <v>9</v>
      </c>
    </row>
    <row r="8" spans="1:5" ht="15.5" x14ac:dyDescent="0.35">
      <c r="B8" s="26"/>
    </row>
    <row r="10" spans="1:5" x14ac:dyDescent="0.35">
      <c r="B10" s="25"/>
    </row>
    <row r="18" spans="1:3" x14ac:dyDescent="0.35">
      <c r="A18" t="s">
        <v>113</v>
      </c>
    </row>
    <row r="19" spans="1:3" x14ac:dyDescent="0.35">
      <c r="A19" s="15" t="s">
        <v>0</v>
      </c>
      <c r="B19" s="11">
        <v>10000</v>
      </c>
      <c r="C19" s="4"/>
    </row>
    <row r="20" spans="1:3" x14ac:dyDescent="0.35">
      <c r="A20" s="15" t="s">
        <v>1</v>
      </c>
      <c r="B20" s="11">
        <v>10000</v>
      </c>
      <c r="C20" s="4"/>
    </row>
    <row r="21" spans="1:3" x14ac:dyDescent="0.35">
      <c r="A21" s="15" t="s">
        <v>266</v>
      </c>
      <c r="B21" s="11">
        <v>47000</v>
      </c>
      <c r="C21" s="4"/>
    </row>
    <row r="22" spans="1:3" x14ac:dyDescent="0.35">
      <c r="A22" s="15" t="s">
        <v>267</v>
      </c>
      <c r="B22" s="20">
        <v>1.0000000000000001E-9</v>
      </c>
      <c r="C22" s="4"/>
    </row>
    <row r="24" spans="1:3" x14ac:dyDescent="0.35">
      <c r="A24" t="s">
        <v>165</v>
      </c>
    </row>
    <row r="25" spans="1:3" x14ac:dyDescent="0.35">
      <c r="A25" s="15" t="s">
        <v>56</v>
      </c>
      <c r="B25" s="18">
        <v>1.8</v>
      </c>
      <c r="C25" s="4" t="s">
        <v>95</v>
      </c>
    </row>
    <row r="27" spans="1:3" x14ac:dyDescent="0.35">
      <c r="A27" t="s">
        <v>166</v>
      </c>
    </row>
    <row r="28" spans="1:3" x14ac:dyDescent="0.35">
      <c r="A28" s="16" t="s">
        <v>88</v>
      </c>
      <c r="B28" s="6">
        <f>B19/(B19+B20)</f>
        <v>0.5</v>
      </c>
      <c r="C28" s="4" t="s">
        <v>87</v>
      </c>
    </row>
    <row r="30" spans="1:3" x14ac:dyDescent="0.35">
      <c r="A30" t="s">
        <v>167</v>
      </c>
    </row>
    <row r="31" spans="1:3" ht="15.5" x14ac:dyDescent="0.35">
      <c r="A31" s="16" t="s">
        <v>57</v>
      </c>
      <c r="B31" s="20">
        <f>1/(2*B21*B22*-LN((1-B28)/(1+B28)))</f>
        <v>9683.3960279450766</v>
      </c>
      <c r="C31" s="4" t="s">
        <v>268</v>
      </c>
    </row>
    <row r="32" spans="1:3" x14ac:dyDescent="0.35">
      <c r="A32" s="16" t="s">
        <v>65</v>
      </c>
      <c r="B32" s="20">
        <f>1/B31</f>
        <v>1.0326955513480233E-4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Overview</vt:lpstr>
      <vt:lpstr>Non-Inverting</vt:lpstr>
      <vt:lpstr>Inverting</vt:lpstr>
      <vt:lpstr>Diff Amp</vt:lpstr>
      <vt:lpstr>Summer</vt:lpstr>
      <vt:lpstr>Integrator</vt:lpstr>
      <vt:lpstr>Differentiator</vt:lpstr>
      <vt:lpstr>Sallen-Key LP Fil</vt:lpstr>
      <vt:lpstr>Square Wave Osc</vt:lpstr>
      <vt:lpstr>Wien-Bridge Osc</vt:lpstr>
      <vt:lpstr>Half-Wave Rect</vt:lpstr>
      <vt:lpstr>Cstray</vt:lpstr>
      <vt:lpstr>Current Source</vt:lpstr>
      <vt:lpstr>Voltage Reg</vt:lpstr>
      <vt:lpstr>Remote Sense</vt:lpstr>
      <vt:lpstr>Twin-T Feedback</vt:lpstr>
      <vt:lpstr>Thermistor Preamp</vt:lpstr>
      <vt:lpstr>Comparator</vt:lpstr>
      <vt:lpstr>I-to-V Converter</vt:lpstr>
      <vt:lpstr>Single-Supply Amp</vt:lpstr>
      <vt:lpstr>Capacitive Load</vt:lpstr>
      <vt:lpstr>Signal Source Divider</vt:lpstr>
      <vt:lpstr>Linear Regulator</vt:lpstr>
      <vt:lpstr>RC Inverter Osc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Faehnrich</dc:creator>
  <cp:lastModifiedBy>Rick Faehnrich</cp:lastModifiedBy>
  <dcterms:created xsi:type="dcterms:W3CDTF">2015-06-05T18:17:20Z</dcterms:created>
  <dcterms:modified xsi:type="dcterms:W3CDTF">2026-01-20T18:34:02Z</dcterms:modified>
</cp:coreProperties>
</file>