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AFF4E194-214A-4927-A884-39614817420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1_Calc" sheetId="8" r:id="rId1"/>
    <sheet name="Offset Errors" sheetId="9" r:id="rId2"/>
    <sheet name="Gain Errors" sheetId="10" r:id="rId3"/>
  </sheets>
  <calcPr calcId="191029"/>
</workbook>
</file>

<file path=xl/calcChain.xml><?xml version="1.0" encoding="utf-8"?>
<calcChain xmlns="http://schemas.openxmlformats.org/spreadsheetml/2006/main">
  <c r="C28" i="8" l="1"/>
  <c r="H34" i="9"/>
  <c r="H33" i="9"/>
  <c r="H25" i="9"/>
  <c r="H24" i="9"/>
  <c r="E25" i="10"/>
  <c r="C26" i="8"/>
  <c r="C14" i="8" l="1"/>
  <c r="H25" i="10" l="1"/>
  <c r="I25" i="10" l="1"/>
  <c r="N25" i="10" s="1"/>
  <c r="I24" i="9"/>
  <c r="C12" i="8"/>
  <c r="C39" i="8"/>
  <c r="C38" i="8"/>
  <c r="C35" i="8"/>
  <c r="C34" i="8"/>
  <c r="M25" i="10" l="1"/>
  <c r="I34" i="9"/>
  <c r="C17" i="8"/>
  <c r="I33" i="9"/>
  <c r="C36" i="8"/>
  <c r="C40" i="8"/>
  <c r="C24" i="8"/>
  <c r="J34" i="9"/>
  <c r="J33" i="9"/>
  <c r="J32" i="9"/>
  <c r="J25" i="9"/>
  <c r="J24" i="9"/>
  <c r="K24" i="9" s="1"/>
  <c r="J23" i="9"/>
  <c r="I25" i="9"/>
  <c r="K34" i="9" l="1"/>
  <c r="N34" i="9" s="1"/>
  <c r="K25" i="9"/>
  <c r="M25" i="9" s="1"/>
  <c r="K33" i="9"/>
  <c r="M33" i="9" s="1"/>
  <c r="N24" i="9"/>
  <c r="M24" i="9"/>
  <c r="H32" i="9"/>
  <c r="I32" i="9" s="1"/>
  <c r="K32" i="9" s="1"/>
  <c r="M32" i="9" s="1"/>
  <c r="H23" i="9"/>
  <c r="I23" i="9" s="1"/>
  <c r="K23" i="9" s="1"/>
  <c r="H33" i="10"/>
  <c r="I33" i="10" s="1"/>
  <c r="H23" i="10"/>
  <c r="I23" i="10" s="1"/>
  <c r="H34" i="10"/>
  <c r="I34" i="10" s="1"/>
  <c r="H24" i="10"/>
  <c r="I24" i="10" s="1"/>
  <c r="M34" i="9" l="1"/>
  <c r="M37" i="9" s="1"/>
  <c r="D13" i="9" s="1"/>
  <c r="N25" i="9"/>
  <c r="N33" i="9"/>
  <c r="N32" i="9"/>
  <c r="N24" i="10"/>
  <c r="M24" i="10"/>
  <c r="N34" i="10"/>
  <c r="M34" i="10"/>
  <c r="N23" i="10"/>
  <c r="M23" i="10"/>
  <c r="N33" i="10"/>
  <c r="M33" i="10"/>
  <c r="N23" i="9"/>
  <c r="M23" i="9"/>
  <c r="N28" i="9" l="1"/>
  <c r="M37" i="10"/>
  <c r="D13" i="10" s="1"/>
  <c r="N37" i="10"/>
  <c r="M28" i="10"/>
  <c r="C13" i="10" s="1"/>
  <c r="N28" i="10"/>
  <c r="N37" i="9"/>
  <c r="M28" i="9"/>
  <c r="C13" i="9" s="1"/>
  <c r="E13" i="9" s="1"/>
  <c r="F13" i="9" s="1"/>
  <c r="G13" i="9" s="1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6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7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7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5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6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6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E25" authorId="0" shapeId="0" xr:uid="{4AC62535-CEDC-4048-905A-9DF64F53D92B}">
      <text>
        <r>
          <rPr>
            <sz val="9"/>
            <color indexed="81"/>
            <rFont val="Tahoma"/>
            <family val="2"/>
          </rPr>
          <t xml:space="preserve">Special case:
Get Aol (dB) at 25C from datasheet
Get B from Calc sheet
dK/K = 1/(Aol*B) 
        =  1/(10^(Aol_dB/20) * B)
     </t>
        </r>
      </text>
    </comment>
    <comment ref="B26" authorId="0" shapeId="0" xr:uid="{5481FCF4-3034-4662-AE84-1619799D29D8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7" authorId="0" shapeId="0" xr:uid="{AFD59C58-3DC9-4C79-AF7C-5FF2556C95D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7" authorId="0" shapeId="0" xr:uid="{550058DE-3C11-4465-A9FE-1936E15137D6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2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5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6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6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<sst xmlns="http://schemas.openxmlformats.org/spreadsheetml/2006/main" count="266" uniqueCount="133">
  <si>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</si>
  <si>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</si>
  <si>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</si>
  <si>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</si>
  <si>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</si>
  <si>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</si>
  <si>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</si>
  <si>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</si>
  <si>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</si>
  <si>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</si>
  <si>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</si>
  <si>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</si>
  <si>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</si>
  <si>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</si>
  <si>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</si>
  <si>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</si>
  <si>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</si>
  <si>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</si>
  <si>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</si>
  <si>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</si>
  <si>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</si>
  <si>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</si>
  <si>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</si>
  <si>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</si>
  <si>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</si>
  <si>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</si>
  <si>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</si>
  <si>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</si>
  <si>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</si>
  <si>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</si>
  <si>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</si>
  <si>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</si>
  <si>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</si>
  <si>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</si>
  <si>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</si>
  <si>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</si>
  <si>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</si>
  <si>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</si>
  <si>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</si>
  <si>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</si>
  <si>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</si>
  <si>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>R2/R1+1</t>
  </si>
  <si>
    <t xml:space="preserve">((K'-K)/K) / 0.01 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</si>
  <si>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</si>
  <si>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</si>
  <si>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</si>
  <si>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</si>
  <si>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</si>
  <si>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</si>
  <si>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</si>
  <si>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</si>
  <si>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</si>
  <si>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S   (How does each error source contribute to a signal Gain error)</t>
  </si>
  <si>
    <t>Offset Error RTI</t>
  </si>
  <si>
    <t>Components</t>
  </si>
  <si>
    <t>Name</t>
  </si>
  <si>
    <t>RS</t>
  </si>
  <si>
    <t>abs(ΔVoffset_rti)</t>
  </si>
  <si>
    <t>Δvoffset_rti^2</t>
  </si>
  <si>
    <t>Drift Errors</t>
  </si>
  <si>
    <t>U1 voff</t>
  </si>
  <si>
    <t>R2/(R1*1.01)+1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</si>
  <si>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</si>
  <si>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</si>
  <si>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</si>
  <si>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</si>
  <si>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</si>
  <si>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</si>
  <si>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</si>
  <si>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</si>
  <si>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voff = K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</si>
  <si>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</si>
  <si>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</si>
  <si>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</si>
  <si>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</si>
  <si>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</si>
  <si>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</si>
  <si>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</si>
  <si>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</si>
  <si>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</si>
  <si>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</si>
  <si>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voff_TC</t>
  </si>
  <si>
    <t>S, Analysis Node</t>
  </si>
  <si>
    <t>S, vo</t>
  </si>
  <si>
    <t>vo</t>
  </si>
  <si>
    <t>vo/vin = R2/R1 + 1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</si>
  <si>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</si>
  <si>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</si>
  <si>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</si>
  <si>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</si>
  <si>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</si>
  <si>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</si>
  <si>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</si>
  <si>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</si>
  <si>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</si>
  <si>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</si>
  <si>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</si>
  <si>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</si>
  <si>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</si>
  <si>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</si>
  <si>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</si>
  <si>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</si>
  <si>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</si>
  <si>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</si>
  <si>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</si>
  <si>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</si>
  <si>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</si>
  <si>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</si>
  <si>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OP001</t>
  </si>
  <si>
    <t>Root Sum Square</t>
  </si>
  <si>
    <t>Worst Case Analysis</t>
  </si>
  <si>
    <t>Max input signal</t>
  </si>
  <si>
    <t>Circuit Calc - Amp 1, Non-Inv</t>
  </si>
  <si>
    <t>U1 ib</t>
  </si>
  <si>
    <t>S = vo / ib = Rs*(R2/R1+1) - R2</t>
  </si>
  <si>
    <t>U1 iboff</t>
  </si>
  <si>
    <t>S = vo / iboff = 1/2*(Rs*(R2/R1+1) + R2)</t>
  </si>
  <si>
    <t>Feedback factor</t>
  </si>
  <si>
    <t>B</t>
  </si>
  <si>
    <t>vp/vo = R2/(R1+R2)</t>
  </si>
  <si>
    <t>Aol</t>
  </si>
  <si>
    <t>ib</t>
  </si>
  <si>
    <t>iboff</t>
  </si>
  <si>
    <t>ib_TC</t>
  </si>
  <si>
    <t>iboff_TC</t>
  </si>
  <si>
    <t>U1 ib TC</t>
  </si>
  <si>
    <t>U1 iboff TC</t>
  </si>
  <si>
    <t>U1 Aol</t>
  </si>
  <si>
    <t>(V/V)</t>
  </si>
  <si>
    <t>Directly effects gain</t>
  </si>
  <si>
    <t>Drift, Noise Errors</t>
  </si>
  <si>
    <t>1/(Aol*B)</t>
  </si>
  <si>
    <t>OP002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</si>
</sst>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  <xf numFmtId="3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3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cat>
            <c:strRef>
              <c:f>'Offset Errors'!$B$23:$B$26</c:f>
              <c:strCache>
                <c:ptCount val="4"/>
                <c:pt idx="0">
                  <c:v>U1 voff</c:v>
                </c:pt>
                <c:pt idx="1">
                  <c:v>U1 ib</c:v>
                </c:pt>
                <c:pt idx="2">
                  <c:v>U1 iboff</c:v>
                </c:pt>
                <c:pt idx="3">
                  <c:v>end</c:v>
                </c:pt>
              </c:strCache>
            </c:strRef>
          </c:cat>
          <c:val>
            <c:numRef>
              <c:f>'Offset Errors'!$M$23:$M$26</c:f>
              <c:numCache>
                <c:formatCode>0.000000</c:formatCode>
                <c:ptCount val="4"/>
                <c:pt idx="0">
                  <c:v>1E-4</c:v>
                </c:pt>
                <c:pt idx="1">
                  <c:v>4.0000000000000003E-5</c:v>
                </c:pt>
                <c:pt idx="2">
                  <c:v>2.5000000000000001E-5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6416839043247288"/>
          <c:y val="0.21095618708461406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Errors'!$M$31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DF-49B0-8CDD-FBD06100D4CD}"/>
              </c:ext>
            </c:extLst>
          </c:dPt>
          <c:cat>
            <c:strRef>
              <c:f>'Offset Errors'!$B$32:$B$35</c:f>
              <c:strCache>
                <c:ptCount val="4"/>
                <c:pt idx="0">
                  <c:v>U1 voff TC</c:v>
                </c:pt>
                <c:pt idx="1">
                  <c:v>U1 ib TC</c:v>
                </c:pt>
                <c:pt idx="2">
                  <c:v>U1 iboff TC</c:v>
                </c:pt>
                <c:pt idx="3">
                  <c:v>end</c:v>
                </c:pt>
              </c:strCache>
            </c:strRef>
          </c:cat>
          <c:val>
            <c:numRef>
              <c:f>'Offset Errors'!$M$32:$M$35</c:f>
              <c:numCache>
                <c:formatCode>0.000000</c:formatCode>
                <c:ptCount val="4"/>
                <c:pt idx="0">
                  <c:v>1.5000000000000001E-4</c:v>
                </c:pt>
                <c:pt idx="1">
                  <c:v>2.4000000000000003E-4</c:v>
                </c:pt>
                <c:pt idx="2">
                  <c:v>1.5000000000000001E-4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134429942021027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D8D-4687-BE71-7ACA63ED2DF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AB-4278-91D5-7C31F2A93E2A}"/>
              </c:ext>
            </c:extLst>
          </c:dPt>
          <c:cat>
            <c:strRef>
              <c:f>'Gain Errors'!$B$23:$B$26</c:f>
              <c:strCache>
                <c:ptCount val="4"/>
                <c:pt idx="0">
                  <c:v>R2 Tol</c:v>
                </c:pt>
                <c:pt idx="1">
                  <c:v>R1 Tol</c:v>
                </c:pt>
                <c:pt idx="2">
                  <c:v>U1 Aol</c:v>
                </c:pt>
                <c:pt idx="3">
                  <c:v>end</c:v>
                </c:pt>
              </c:strCache>
            </c:strRef>
          </c:cat>
          <c:val>
            <c:numRef>
              <c:f>'Gain Errors'!$M$23:$M$26</c:f>
              <c:numCache>
                <c:formatCode>0.000</c:formatCode>
                <c:ptCount val="4"/>
                <c:pt idx="0">
                  <c:v>8.9999999999999858E-2</c:v>
                </c:pt>
                <c:pt idx="1">
                  <c:v>8.91089108910883E-2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564724161340566"/>
          <c:y val="0.20520771536621599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9C-462C-A855-B75EF08BC60B}"/>
              </c:ext>
            </c:extLst>
          </c:dPt>
          <c:cat>
            <c:strRef>
              <c:f>'Gain Errors'!$B$33:$B$35</c:f>
              <c:strCache>
                <c:ptCount val="3"/>
                <c:pt idx="0">
                  <c:v>R2 TC</c:v>
                </c:pt>
                <c:pt idx="1">
                  <c:v>R1 TC</c:v>
                </c:pt>
                <c:pt idx="2">
                  <c:v>end</c:v>
                </c:pt>
              </c:strCache>
            </c:strRef>
          </c:cat>
          <c:val>
            <c:numRef>
              <c:f>'Gain Errors'!$M$33:$M$35</c:f>
              <c:numCache>
                <c:formatCode>0.000</c:formatCode>
                <c:ptCount val="3"/>
                <c:pt idx="0">
                  <c:v>6.7499999999999893E-2</c:v>
                </c:pt>
                <c:pt idx="1">
                  <c:v>6.6831683168316225E-2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22009701856559802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273009</xdr:colOff>
      <xdr:row>5</xdr:row>
      <xdr:rowOff>14408</xdr:rowOff>
    </xdr:from>
    <xdr:to>
      <xdr:col>12</xdr:col>
      <xdr:colOff>32576</xdr:colOff>
      <xdr:row>16</xdr:row>
      <xdr:rowOff>111594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841F44-7D22-572B-EA0F-885F6E682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9715" y="1075232"/>
          <a:ext cx="3577037" cy="2151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4"/>
  <sheetViews>
    <sheetView tabSelected="1" zoomScale="70" zoomScaleNormal="70" workbookViewId="0">
      <selection activeCell="A18" sqref="A18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3" t="s">
        <v>112</v>
      </c>
      <c r="F1" s="1"/>
    </row>
    <row r="2" spans="1:8" ht="18.5" x14ac:dyDescent="0.45">
      <c r="A2" s="47" t="s">
        <v>104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72</v>
      </c>
      <c r="B5" s="5"/>
      <c r="C5" s="5"/>
      <c r="D5" s="5"/>
      <c r="E5" s="5"/>
    </row>
    <row r="7" spans="1:8" x14ac:dyDescent="0.35">
      <c r="A7" t="s">
        <v>54</v>
      </c>
      <c r="B7" s="3" t="s">
        <v>1</v>
      </c>
      <c r="C7" s="48">
        <v>10000</v>
      </c>
      <c r="D7" t="s">
        <v>10</v>
      </c>
    </row>
    <row r="8" spans="1:8" x14ac:dyDescent="0.35">
      <c r="B8" s="3" t="s">
        <v>2</v>
      </c>
      <c r="C8" s="48">
        <v>90000</v>
      </c>
      <c r="D8" t="s">
        <v>10</v>
      </c>
    </row>
    <row r="10" spans="1:8" x14ac:dyDescent="0.35">
      <c r="B10" s="3" t="s">
        <v>56</v>
      </c>
      <c r="C10" s="48">
        <v>1000</v>
      </c>
      <c r="D10" t="s">
        <v>10</v>
      </c>
    </row>
    <row r="12" spans="1:8" x14ac:dyDescent="0.35">
      <c r="A12" t="s">
        <v>6</v>
      </c>
      <c r="B12" s="4" t="s">
        <v>3</v>
      </c>
      <c r="C12" s="6">
        <f>$C$8/$C$7+1</f>
        <v>10</v>
      </c>
      <c r="D12" t="s">
        <v>85</v>
      </c>
    </row>
    <row r="14" spans="1:8" x14ac:dyDescent="0.35">
      <c r="A14" t="s">
        <v>117</v>
      </c>
      <c r="B14" s="4" t="s">
        <v>118</v>
      </c>
      <c r="C14" s="6">
        <f>$C$7/($C$7+$C$8)</f>
        <v>0.1</v>
      </c>
      <c r="D14" t="s">
        <v>119</v>
      </c>
    </row>
    <row r="16" spans="1:8" x14ac:dyDescent="0.35">
      <c r="A16" t="s">
        <v>65</v>
      </c>
      <c r="B16" s="3" t="s">
        <v>86</v>
      </c>
      <c r="C16" s="10">
        <v>0.5</v>
      </c>
      <c r="D16" s="19" t="s">
        <v>111</v>
      </c>
    </row>
    <row r="17" spans="1:10" x14ac:dyDescent="0.35">
      <c r="B17" s="4" t="s">
        <v>84</v>
      </c>
      <c r="C17" s="10">
        <f>C16*C12</f>
        <v>5</v>
      </c>
      <c r="D17" t="s">
        <v>87</v>
      </c>
    </row>
    <row r="20" spans="1:10" x14ac:dyDescent="0.35">
      <c r="A20" s="15" t="s">
        <v>45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5">
      <c r="A21" t="s">
        <v>103</v>
      </c>
      <c r="B21" s="9"/>
      <c r="E21" s="9"/>
    </row>
    <row r="22" spans="1:10" x14ac:dyDescent="0.35">
      <c r="A22" s="7"/>
      <c r="B22" s="9"/>
      <c r="E22" s="9"/>
    </row>
    <row r="23" spans="1:10" x14ac:dyDescent="0.35">
      <c r="A23" s="8"/>
      <c r="B23" t="s">
        <v>82</v>
      </c>
    </row>
    <row r="24" spans="1:10" x14ac:dyDescent="0.35">
      <c r="A24" s="11" t="s">
        <v>60</v>
      </c>
      <c r="B24" s="4" t="s">
        <v>83</v>
      </c>
      <c r="C24" s="10">
        <f>$C$12</f>
        <v>10</v>
      </c>
      <c r="D24" s="2" t="s">
        <v>70</v>
      </c>
    </row>
    <row r="25" spans="1:10" x14ac:dyDescent="0.35">
      <c r="A25" s="11"/>
      <c r="C25" s="10"/>
    </row>
    <row r="26" spans="1:10" x14ac:dyDescent="0.35">
      <c r="A26" s="11" t="s">
        <v>113</v>
      </c>
      <c r="B26" s="4" t="s">
        <v>83</v>
      </c>
      <c r="C26" s="16">
        <f>$C$10*($C$8/$C$7+1)-$C$8</f>
        <v>-80000</v>
      </c>
      <c r="D26" s="2" t="s">
        <v>114</v>
      </c>
    </row>
    <row r="27" spans="1:10" x14ac:dyDescent="0.35">
      <c r="A27" s="11"/>
      <c r="C27" s="10"/>
      <c r="D27" s="2"/>
    </row>
    <row r="28" spans="1:10" x14ac:dyDescent="0.35">
      <c r="A28" s="11" t="s">
        <v>115</v>
      </c>
      <c r="B28" s="4" t="s">
        <v>83</v>
      </c>
      <c r="C28" s="16">
        <f>1/2*($C$10*($C$8/$C$7+1)+$C$8)</f>
        <v>50000</v>
      </c>
      <c r="D28" s="2" t="s">
        <v>116</v>
      </c>
    </row>
    <row r="29" spans="1:10" x14ac:dyDescent="0.35">
      <c r="A29" s="11"/>
      <c r="C29" s="10"/>
      <c r="D29" s="2"/>
    </row>
    <row r="30" spans="1:10" x14ac:dyDescent="0.35">
      <c r="A30" s="8"/>
      <c r="D30" s="2"/>
    </row>
    <row r="31" spans="1:10" x14ac:dyDescent="0.35">
      <c r="A31" s="15" t="s">
        <v>46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35">
      <c r="A32" t="s">
        <v>52</v>
      </c>
      <c r="B32" s="9"/>
      <c r="E32" s="9"/>
    </row>
    <row r="33" spans="1:7" x14ac:dyDescent="0.35">
      <c r="A33" s="12"/>
      <c r="B33" s="1"/>
      <c r="D33" s="1"/>
      <c r="E33" s="11"/>
    </row>
    <row r="34" spans="1:7" x14ac:dyDescent="0.35">
      <c r="A34" s="11" t="s">
        <v>1</v>
      </c>
      <c r="B34" s="4" t="s">
        <v>3</v>
      </c>
      <c r="C34" s="25">
        <f>$C$8/$C$7+1</f>
        <v>10</v>
      </c>
      <c r="D34" t="s">
        <v>41</v>
      </c>
      <c r="F34" s="13" t="s">
        <v>11</v>
      </c>
    </row>
    <row r="35" spans="1:7" x14ac:dyDescent="0.35">
      <c r="A35" s="8"/>
      <c r="B35" s="4" t="s">
        <v>4</v>
      </c>
      <c r="C35" s="25">
        <f>$C$8/($C$7*1.01)+1</f>
        <v>9.9108910891089117</v>
      </c>
      <c r="D35" t="s">
        <v>61</v>
      </c>
      <c r="F35" s="13" t="s">
        <v>71</v>
      </c>
    </row>
    <row r="36" spans="1:7" x14ac:dyDescent="0.35">
      <c r="A36" s="8"/>
      <c r="B36" s="4" t="s">
        <v>0</v>
      </c>
      <c r="C36" s="25">
        <f>((C35-C34)/C34)/0.01</f>
        <v>-0.891089108910883</v>
      </c>
      <c r="D36" s="2" t="s">
        <v>42</v>
      </c>
      <c r="F36" t="s">
        <v>12</v>
      </c>
    </row>
    <row r="38" spans="1:7" x14ac:dyDescent="0.35">
      <c r="A38" s="11" t="s">
        <v>2</v>
      </c>
      <c r="B38" s="4" t="s">
        <v>3</v>
      </c>
      <c r="C38" s="25">
        <f>$C$8/$C$7+1</f>
        <v>10</v>
      </c>
      <c r="D38" t="s">
        <v>41</v>
      </c>
      <c r="F38" t="s">
        <v>43</v>
      </c>
      <c r="G38" s="9"/>
    </row>
    <row r="39" spans="1:7" x14ac:dyDescent="0.35">
      <c r="A39" s="8"/>
      <c r="B39" s="4" t="s">
        <v>4</v>
      </c>
      <c r="C39" s="25">
        <f>$C$8*1.01/$C$7+1</f>
        <v>10.09</v>
      </c>
      <c r="D39" t="s">
        <v>62</v>
      </c>
      <c r="F39" t="s">
        <v>34</v>
      </c>
      <c r="G39" s="9"/>
    </row>
    <row r="40" spans="1:7" x14ac:dyDescent="0.35">
      <c r="A40" s="8"/>
      <c r="B40" s="4" t="s">
        <v>0</v>
      </c>
      <c r="C40" s="25">
        <f>((C39-C38)/C38)/0.01</f>
        <v>0.89999999999999858</v>
      </c>
      <c r="D40" s="2" t="s">
        <v>42</v>
      </c>
      <c r="F40" t="s">
        <v>33</v>
      </c>
      <c r="G40" s="9"/>
    </row>
    <row r="41" spans="1:7" x14ac:dyDescent="0.35">
      <c r="F41" t="s">
        <v>63</v>
      </c>
      <c r="G41" s="9"/>
    </row>
    <row r="43" spans="1:7" x14ac:dyDescent="0.35">
      <c r="A43" s="11" t="s">
        <v>120</v>
      </c>
      <c r="B43" s="4" t="s">
        <v>0</v>
      </c>
      <c r="C43" s="25">
        <v>1</v>
      </c>
      <c r="D43" s="2" t="s">
        <v>129</v>
      </c>
    </row>
    <row r="44" spans="1:7" x14ac:dyDescent="0.35">
      <c r="D44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38"/>
  <sheetViews>
    <sheetView zoomScale="70" zoomScaleNormal="70" workbookViewId="0">
      <selection activeCell="H37" sqref="H37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7" width="12.453125" customWidth="1"/>
    <col min="8" max="8" width="16.81640625" customWidth="1"/>
    <col min="9" max="9" width="17.54296875" customWidth="1"/>
    <col min="10" max="10" width="16" customWidth="1"/>
    <col min="11" max="11" width="12.36328125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3" t="s">
        <v>105</v>
      </c>
      <c r="F1" s="1"/>
      <c r="G1" s="1"/>
      <c r="H1" s="1"/>
    </row>
    <row r="2" spans="1:13" ht="18.5" x14ac:dyDescent="0.45">
      <c r="A2" s="44"/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49" t="s">
        <v>27</v>
      </c>
      <c r="G7" s="1"/>
      <c r="H7" s="1"/>
      <c r="I7" s="1"/>
      <c r="J7" s="1"/>
    </row>
    <row r="8" spans="1:13" x14ac:dyDescent="0.35">
      <c r="C8" s="38" t="s">
        <v>107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101</v>
      </c>
      <c r="C11" t="s">
        <v>64</v>
      </c>
      <c r="D11" s="10"/>
      <c r="E11" s="10"/>
      <c r="F11" s="1" t="s">
        <v>100</v>
      </c>
    </row>
    <row r="12" spans="1:13" x14ac:dyDescent="0.35">
      <c r="A12" s="32" t="s">
        <v>22</v>
      </c>
      <c r="B12" s="40" t="s">
        <v>66</v>
      </c>
      <c r="C12" s="4" t="s">
        <v>24</v>
      </c>
      <c r="D12" s="4" t="s">
        <v>35</v>
      </c>
      <c r="E12" s="41" t="s">
        <v>25</v>
      </c>
      <c r="F12" s="4" t="s">
        <v>28</v>
      </c>
      <c r="G12" s="41" t="s">
        <v>30</v>
      </c>
    </row>
    <row r="13" spans="1:13" x14ac:dyDescent="0.35">
      <c r="A13" s="2" t="s">
        <v>102</v>
      </c>
      <c r="B13" s="9">
        <v>1.5E-3</v>
      </c>
      <c r="C13" s="18">
        <f>M28</f>
        <v>1.6500000000000003E-4</v>
      </c>
      <c r="D13" s="18">
        <f>M37</f>
        <v>5.4000000000000012E-4</v>
      </c>
      <c r="E13" s="50">
        <f>C13+D13</f>
        <v>7.0500000000000011E-4</v>
      </c>
      <c r="F13" s="16">
        <f>(B13-E13)/B13*100</f>
        <v>52.999999999999993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32" t="s">
        <v>15</v>
      </c>
      <c r="B21" s="32"/>
      <c r="C21" s="35"/>
      <c r="D21" s="36" t="s">
        <v>48</v>
      </c>
      <c r="E21" s="36" t="s">
        <v>49</v>
      </c>
      <c r="F21" s="36"/>
      <c r="G21" s="36" t="s">
        <v>88</v>
      </c>
      <c r="H21" s="36" t="s">
        <v>47</v>
      </c>
      <c r="I21" s="39" t="s">
        <v>93</v>
      </c>
      <c r="J21" s="36" t="s">
        <v>90</v>
      </c>
      <c r="K21" s="39" t="s">
        <v>53</v>
      </c>
      <c r="M21" s="31" t="s">
        <v>110</v>
      </c>
      <c r="N21" s="31" t="s">
        <v>109</v>
      </c>
    </row>
    <row r="22" spans="1:14" ht="43.5" x14ac:dyDescent="0.35">
      <c r="A22" s="22" t="s">
        <v>40</v>
      </c>
      <c r="B22" s="22" t="s">
        <v>55</v>
      </c>
      <c r="C22" s="22" t="s">
        <v>73</v>
      </c>
      <c r="D22" s="30" t="s">
        <v>21</v>
      </c>
      <c r="E22" s="30" t="s">
        <v>21</v>
      </c>
      <c r="F22" s="22" t="s">
        <v>14</v>
      </c>
      <c r="G22" s="30" t="s">
        <v>89</v>
      </c>
      <c r="H22" s="23" t="s">
        <v>0</v>
      </c>
      <c r="I22" s="46" t="s">
        <v>95</v>
      </c>
      <c r="J22" s="24" t="s">
        <v>91</v>
      </c>
      <c r="K22" s="46" t="s">
        <v>92</v>
      </c>
      <c r="M22" s="24" t="s">
        <v>57</v>
      </c>
      <c r="N22" s="24" t="s">
        <v>58</v>
      </c>
    </row>
    <row r="23" spans="1:14" x14ac:dyDescent="0.35">
      <c r="A23" s="1" t="s">
        <v>37</v>
      </c>
      <c r="B23" s="1" t="s">
        <v>60</v>
      </c>
      <c r="C23" s="1" t="s">
        <v>132</v>
      </c>
      <c r="D23" s="1" t="s">
        <v>79</v>
      </c>
      <c r="E23" s="1">
        <v>1E-4</v>
      </c>
      <c r="F23" s="21" t="s">
        <v>5</v>
      </c>
      <c r="G23" s="14" t="s">
        <v>84</v>
      </c>
      <c r="H23" s="25">
        <f>Amp1_Calc!$C$24</f>
        <v>10</v>
      </c>
      <c r="I23" s="28">
        <f>E23*H23</f>
        <v>1E-3</v>
      </c>
      <c r="J23" s="10">
        <f>Amp1_Calc!$C$12</f>
        <v>10</v>
      </c>
      <c r="K23" s="28">
        <f>I23*1/J23</f>
        <v>1E-4</v>
      </c>
      <c r="L23" s="2" t="s">
        <v>5</v>
      </c>
      <c r="M23" s="28">
        <f>ABS(K23)</f>
        <v>1E-4</v>
      </c>
      <c r="N23" s="17">
        <f>K23^2</f>
        <v>1E-8</v>
      </c>
    </row>
    <row r="24" spans="1:14" x14ac:dyDescent="0.35">
      <c r="A24" s="1" t="s">
        <v>39</v>
      </c>
      <c r="B24" s="1" t="s">
        <v>113</v>
      </c>
      <c r="C24" s="1" t="s">
        <v>132</v>
      </c>
      <c r="D24" s="1" t="s">
        <v>121</v>
      </c>
      <c r="E24" s="17">
        <v>5.0000000000000001E-9</v>
      </c>
      <c r="F24" s="1" t="s">
        <v>13</v>
      </c>
      <c r="G24" s="14" t="s">
        <v>84</v>
      </c>
      <c r="H24" s="16">
        <f>Amp1_Calc!$C$26</f>
        <v>-80000</v>
      </c>
      <c r="I24" s="28">
        <f>E24*H24</f>
        <v>-4.0000000000000002E-4</v>
      </c>
      <c r="J24" s="10">
        <f>Amp1_Calc!$C$12</f>
        <v>10</v>
      </c>
      <c r="K24" s="28">
        <f>I24*1/J24</f>
        <v>-4.0000000000000003E-5</v>
      </c>
      <c r="L24" s="2" t="s">
        <v>5</v>
      </c>
      <c r="M24" s="28">
        <f>ABS(K24)</f>
        <v>4.0000000000000003E-5</v>
      </c>
      <c r="N24" s="17">
        <f>K24^2</f>
        <v>1.6000000000000003E-9</v>
      </c>
    </row>
    <row r="25" spans="1:14" x14ac:dyDescent="0.35">
      <c r="A25" s="1" t="s">
        <v>39</v>
      </c>
      <c r="B25" s="1" t="s">
        <v>115</v>
      </c>
      <c r="C25" s="1" t="s">
        <v>132</v>
      </c>
      <c r="D25" s="1" t="s">
        <v>122</v>
      </c>
      <c r="E25" s="17">
        <v>5.0000000000000001E-9</v>
      </c>
      <c r="F25" s="1" t="s">
        <v>13</v>
      </c>
      <c r="G25" s="14" t="s">
        <v>84</v>
      </c>
      <c r="H25" s="16">
        <f>Amp1_Calc!$C$28</f>
        <v>50000</v>
      </c>
      <c r="I25" s="28">
        <f>E25*H25</f>
        <v>2.5000000000000001E-4</v>
      </c>
      <c r="J25" s="10">
        <f>Amp1_Calc!$C$12</f>
        <v>10</v>
      </c>
      <c r="K25" s="28">
        <f>I25*1/J25</f>
        <v>2.5000000000000001E-5</v>
      </c>
      <c r="L25" s="2" t="s">
        <v>5</v>
      </c>
      <c r="M25" s="28">
        <f>ABS(K25)</f>
        <v>2.5000000000000001E-5</v>
      </c>
      <c r="N25" s="17">
        <f>K25^2</f>
        <v>6.2500000000000001E-10</v>
      </c>
    </row>
    <row r="26" spans="1:14" x14ac:dyDescent="0.35">
      <c r="B26" s="1" t="s">
        <v>26</v>
      </c>
      <c r="E26" s="17"/>
      <c r="F26" s="1"/>
      <c r="G26" s="14"/>
      <c r="H26" s="16"/>
      <c r="I26" s="18"/>
      <c r="J26" s="10"/>
      <c r="K26" s="28"/>
    </row>
    <row r="27" spans="1:14" x14ac:dyDescent="0.35">
      <c r="G27" s="1"/>
      <c r="I27" s="1"/>
      <c r="J27" s="10"/>
      <c r="K27" s="20"/>
      <c r="L27" s="2"/>
      <c r="M27" s="39" t="s">
        <v>68</v>
      </c>
      <c r="N27" s="33" t="s">
        <v>69</v>
      </c>
    </row>
    <row r="28" spans="1:14" x14ac:dyDescent="0.35">
      <c r="G28" s="1"/>
      <c r="I28" s="1"/>
      <c r="J28" s="1"/>
      <c r="K28" s="20"/>
      <c r="L28" s="2"/>
      <c r="M28" s="28">
        <f>SUM(M23:M26)</f>
        <v>1.6500000000000003E-4</v>
      </c>
      <c r="N28" s="28">
        <f>SQRT(SUM(N23:N26))</f>
        <v>1.1056672193747992E-4</v>
      </c>
    </row>
    <row r="29" spans="1:14" x14ac:dyDescent="0.35">
      <c r="G29" s="1"/>
      <c r="I29" s="1"/>
      <c r="J29" s="1"/>
      <c r="K29" s="20"/>
      <c r="L29" s="26"/>
    </row>
    <row r="30" spans="1:14" ht="29" x14ac:dyDescent="0.35">
      <c r="A30" s="7" t="s">
        <v>130</v>
      </c>
      <c r="B30" s="7"/>
      <c r="C30" s="7"/>
      <c r="D30" s="36" t="s">
        <v>48</v>
      </c>
      <c r="E30" s="36" t="s">
        <v>49</v>
      </c>
      <c r="G30" s="36" t="s">
        <v>88</v>
      </c>
      <c r="H30" s="36" t="s">
        <v>47</v>
      </c>
      <c r="I30" s="36" t="s">
        <v>93</v>
      </c>
      <c r="J30" s="36" t="s">
        <v>90</v>
      </c>
      <c r="K30" s="39" t="s">
        <v>53</v>
      </c>
      <c r="L30" s="26"/>
      <c r="M30" s="1"/>
      <c r="N30" s="31"/>
    </row>
    <row r="31" spans="1:14" ht="43.5" x14ac:dyDescent="0.35">
      <c r="A31" s="22" t="s">
        <v>38</v>
      </c>
      <c r="B31" s="22" t="s">
        <v>55</v>
      </c>
      <c r="C31" s="22" t="s">
        <v>73</v>
      </c>
      <c r="D31" s="30" t="s">
        <v>21</v>
      </c>
      <c r="E31" s="30" t="s">
        <v>21</v>
      </c>
      <c r="F31" s="22" t="s">
        <v>14</v>
      </c>
      <c r="G31" s="30" t="s">
        <v>89</v>
      </c>
      <c r="H31" s="23" t="s">
        <v>0</v>
      </c>
      <c r="I31" s="46" t="s">
        <v>94</v>
      </c>
      <c r="J31" s="24" t="s">
        <v>91</v>
      </c>
      <c r="K31" s="46" t="s">
        <v>92</v>
      </c>
      <c r="L31" s="34"/>
      <c r="M31" s="24" t="s">
        <v>57</v>
      </c>
      <c r="N31" s="24" t="s">
        <v>58</v>
      </c>
    </row>
    <row r="32" spans="1:14" x14ac:dyDescent="0.35">
      <c r="A32" s="1" t="s">
        <v>37</v>
      </c>
      <c r="B32" s="1" t="s">
        <v>80</v>
      </c>
      <c r="C32" s="1" t="s">
        <v>132</v>
      </c>
      <c r="D32" s="1" t="s">
        <v>81</v>
      </c>
      <c r="E32" s="27">
        <v>5.0000000000000004E-6</v>
      </c>
      <c r="F32" s="21" t="s">
        <v>17</v>
      </c>
      <c r="G32" s="14" t="s">
        <v>84</v>
      </c>
      <c r="H32" s="10">
        <f>Amp1_Calc!$C$24</f>
        <v>10</v>
      </c>
      <c r="I32" s="28">
        <f>E32*$C$9*H32</f>
        <v>1.5E-3</v>
      </c>
      <c r="J32" s="10">
        <f>Amp1_Calc!$C$12</f>
        <v>10</v>
      </c>
      <c r="K32" s="28">
        <f>I32*1/J32</f>
        <v>1.5000000000000001E-4</v>
      </c>
      <c r="L32" s="2" t="s">
        <v>5</v>
      </c>
      <c r="M32" s="28">
        <f>ABS(K32)</f>
        <v>1.5000000000000001E-4</v>
      </c>
      <c r="N32" s="17">
        <f>K32^2</f>
        <v>2.2500000000000003E-8</v>
      </c>
    </row>
    <row r="33" spans="1:14" x14ac:dyDescent="0.35">
      <c r="A33" s="1" t="s">
        <v>39</v>
      </c>
      <c r="B33" s="1" t="s">
        <v>125</v>
      </c>
      <c r="C33" s="1" t="s">
        <v>132</v>
      </c>
      <c r="D33" s="1" t="s">
        <v>123</v>
      </c>
      <c r="E33" s="17">
        <v>1.0000000000000001E-9</v>
      </c>
      <c r="F33" s="1" t="s">
        <v>18</v>
      </c>
      <c r="G33" s="14" t="s">
        <v>84</v>
      </c>
      <c r="H33" s="16">
        <f>Amp1_Calc!$C$26</f>
        <v>-80000</v>
      </c>
      <c r="I33" s="28">
        <f>E33*$C$9*H33</f>
        <v>-2.4000000000000002E-3</v>
      </c>
      <c r="J33" s="10">
        <f>Amp1_Calc!$C$12</f>
        <v>10</v>
      </c>
      <c r="K33" s="28">
        <f>I33*1/J33</f>
        <v>-2.4000000000000003E-4</v>
      </c>
      <c r="L33" s="2" t="s">
        <v>5</v>
      </c>
      <c r="M33" s="28">
        <f>ABS(K33)</f>
        <v>2.4000000000000003E-4</v>
      </c>
      <c r="N33" s="17">
        <f>K33^2</f>
        <v>5.7600000000000013E-8</v>
      </c>
    </row>
    <row r="34" spans="1:14" x14ac:dyDescent="0.35">
      <c r="A34" s="1" t="s">
        <v>39</v>
      </c>
      <c r="B34" s="1" t="s">
        <v>126</v>
      </c>
      <c r="C34" s="1" t="s">
        <v>132</v>
      </c>
      <c r="D34" s="1" t="s">
        <v>124</v>
      </c>
      <c r="E34" s="17">
        <v>1.0000000000000001E-9</v>
      </c>
      <c r="F34" s="1" t="s">
        <v>18</v>
      </c>
      <c r="G34" s="14" t="s">
        <v>84</v>
      </c>
      <c r="H34" s="16">
        <f>Amp1_Calc!$C$28</f>
        <v>50000</v>
      </c>
      <c r="I34" s="28">
        <f>E34*$C$9*H34</f>
        <v>1.5000000000000002E-3</v>
      </c>
      <c r="J34" s="10">
        <f>Amp1_Calc!$C$12</f>
        <v>10</v>
      </c>
      <c r="K34" s="28">
        <f>I34*1/J34</f>
        <v>1.5000000000000001E-4</v>
      </c>
      <c r="L34" s="2" t="s">
        <v>5</v>
      </c>
      <c r="M34" s="28">
        <f>ABS(K34)</f>
        <v>1.5000000000000001E-4</v>
      </c>
      <c r="N34" s="17">
        <f>K34^2</f>
        <v>2.2500000000000003E-8</v>
      </c>
    </row>
    <row r="35" spans="1:14" x14ac:dyDescent="0.35">
      <c r="B35" s="1" t="s">
        <v>26</v>
      </c>
    </row>
    <row r="36" spans="1:14" x14ac:dyDescent="0.35">
      <c r="G36" s="1"/>
      <c r="H36" s="1"/>
      <c r="I36" s="1"/>
      <c r="J36" s="29"/>
      <c r="K36" s="2"/>
      <c r="M36" s="39" t="s">
        <v>68</v>
      </c>
      <c r="N36" s="33" t="s">
        <v>69</v>
      </c>
    </row>
    <row r="37" spans="1:14" x14ac:dyDescent="0.35">
      <c r="G37" s="1"/>
      <c r="H37" s="1"/>
      <c r="I37" s="1"/>
      <c r="J37" s="29"/>
      <c r="K37" s="2"/>
      <c r="M37" s="28">
        <f>SUM(M32:M35)</f>
        <v>5.4000000000000012E-4</v>
      </c>
      <c r="N37" s="28">
        <f>SQRT(SUM(N32:N35))</f>
        <v>3.2031234756093934E-4</v>
      </c>
    </row>
    <row r="38" spans="1:14" x14ac:dyDescent="0.35">
      <c r="G38" s="1"/>
      <c r="H38" s="1"/>
      <c r="I38" s="1"/>
      <c r="J38" s="29"/>
      <c r="K38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7"/>
  <sheetViews>
    <sheetView zoomScale="70" zoomScaleNormal="70" workbookViewId="0">
      <selection activeCell="C16" sqref="C16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3" t="s">
        <v>106</v>
      </c>
      <c r="F1" s="1"/>
      <c r="G1" s="1"/>
      <c r="H1" s="1"/>
    </row>
    <row r="2" spans="1:13" x14ac:dyDescent="0.35"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107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101</v>
      </c>
      <c r="C11" t="s">
        <v>29</v>
      </c>
      <c r="D11" s="10"/>
      <c r="E11" s="10"/>
      <c r="F11" s="1" t="s">
        <v>100</v>
      </c>
    </row>
    <row r="12" spans="1:13" x14ac:dyDescent="0.35">
      <c r="A12" s="7" t="s">
        <v>23</v>
      </c>
      <c r="B12" s="3" t="s">
        <v>67</v>
      </c>
      <c r="C12" s="4" t="s">
        <v>24</v>
      </c>
      <c r="D12" s="4" t="s">
        <v>35</v>
      </c>
      <c r="E12" s="41" t="s">
        <v>25</v>
      </c>
      <c r="F12" s="4" t="s">
        <v>28</v>
      </c>
      <c r="G12" s="45" t="s">
        <v>30</v>
      </c>
    </row>
    <row r="13" spans="1:13" x14ac:dyDescent="0.35">
      <c r="B13" s="10">
        <v>0.5</v>
      </c>
      <c r="C13" s="25">
        <f>M28</f>
        <v>0.27910891089108814</v>
      </c>
      <c r="D13" s="25">
        <f>M37</f>
        <v>0.13433168316831612</v>
      </c>
      <c r="E13" s="25">
        <f>C13+D13</f>
        <v>0.41344059405940425</v>
      </c>
      <c r="F13" s="16">
        <f>(B13-E13)/B13*100</f>
        <v>17.311881188119148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99</v>
      </c>
    </row>
    <row r="21" spans="1:15" ht="29" x14ac:dyDescent="0.35">
      <c r="A21" s="7" t="s">
        <v>15</v>
      </c>
      <c r="B21" s="7"/>
      <c r="C21" s="7"/>
      <c r="D21" s="36" t="s">
        <v>48</v>
      </c>
      <c r="E21" s="36" t="s">
        <v>49</v>
      </c>
      <c r="G21" s="36" t="s">
        <v>88</v>
      </c>
      <c r="H21" s="36" t="s">
        <v>36</v>
      </c>
      <c r="I21" s="36" t="s">
        <v>98</v>
      </c>
      <c r="M21" s="31" t="s">
        <v>110</v>
      </c>
      <c r="N21" s="31" t="s">
        <v>109</v>
      </c>
    </row>
    <row r="22" spans="1:15" ht="29" x14ac:dyDescent="0.35">
      <c r="A22" s="22" t="s">
        <v>38</v>
      </c>
      <c r="B22" s="22" t="s">
        <v>55</v>
      </c>
      <c r="C22" s="22" t="s">
        <v>73</v>
      </c>
      <c r="D22" s="30" t="s">
        <v>21</v>
      </c>
      <c r="E22" s="30" t="s">
        <v>21</v>
      </c>
      <c r="F22" s="22" t="s">
        <v>14</v>
      </c>
      <c r="G22" s="30" t="s">
        <v>89</v>
      </c>
      <c r="H22" s="23" t="s">
        <v>0</v>
      </c>
      <c r="I22" s="42" t="s">
        <v>97</v>
      </c>
      <c r="J22" s="37"/>
      <c r="K22" s="34"/>
      <c r="L22" s="34"/>
      <c r="M22" s="24" t="s">
        <v>50</v>
      </c>
      <c r="N22" s="24" t="s">
        <v>51</v>
      </c>
    </row>
    <row r="23" spans="1:15" x14ac:dyDescent="0.35">
      <c r="A23" s="1" t="s">
        <v>37</v>
      </c>
      <c r="B23" s="1" t="s">
        <v>32</v>
      </c>
      <c r="C23" s="1" t="s">
        <v>74</v>
      </c>
      <c r="D23" s="1" t="s">
        <v>75</v>
      </c>
      <c r="E23" s="1">
        <v>0.1</v>
      </c>
      <c r="F23" s="21" t="s">
        <v>9</v>
      </c>
      <c r="G23" s="14" t="s">
        <v>84</v>
      </c>
      <c r="H23" s="25">
        <f>Amp1_Calc!$C$40</f>
        <v>0.89999999999999858</v>
      </c>
      <c r="I23" s="6">
        <f>E23*H23</f>
        <v>8.9999999999999858E-2</v>
      </c>
      <c r="J23" s="14"/>
      <c r="L23" s="2"/>
      <c r="M23" s="6">
        <f>ABS(I23)</f>
        <v>8.9999999999999858E-2</v>
      </c>
      <c r="N23" s="17">
        <f>I23^2</f>
        <v>8.0999999999999753E-3</v>
      </c>
      <c r="O23" s="2" t="s">
        <v>9</v>
      </c>
    </row>
    <row r="24" spans="1:15" x14ac:dyDescent="0.35">
      <c r="A24" s="1" t="s">
        <v>39</v>
      </c>
      <c r="B24" s="1" t="s">
        <v>31</v>
      </c>
      <c r="C24" s="1" t="s">
        <v>74</v>
      </c>
      <c r="D24" s="1" t="s">
        <v>75</v>
      </c>
      <c r="E24" s="1">
        <v>0.1</v>
      </c>
      <c r="F24" s="21" t="s">
        <v>9</v>
      </c>
      <c r="G24" s="14" t="s">
        <v>84</v>
      </c>
      <c r="H24" s="25">
        <f>Amp1_Calc!$C$36</f>
        <v>-0.891089108910883</v>
      </c>
      <c r="I24" s="6">
        <f>E24*H24</f>
        <v>-8.91089108910883E-2</v>
      </c>
      <c r="J24" s="14"/>
      <c r="L24" s="2"/>
      <c r="M24" s="6">
        <f>ABS(I24)</f>
        <v>8.91089108910883E-2</v>
      </c>
      <c r="N24" s="17">
        <f>I24^2</f>
        <v>7.9403980001959158E-3</v>
      </c>
      <c r="O24" s="2" t="s">
        <v>9</v>
      </c>
    </row>
    <row r="25" spans="1:15" x14ac:dyDescent="0.35">
      <c r="A25" s="1" t="s">
        <v>39</v>
      </c>
      <c r="B25" s="1" t="s">
        <v>127</v>
      </c>
      <c r="C25" s="1" t="s">
        <v>108</v>
      </c>
      <c r="D25" s="1" t="s">
        <v>131</v>
      </c>
      <c r="E25" s="17">
        <f>1/(10^(80/20)*Amp1_Calc!$C$14)</f>
        <v>1E-3</v>
      </c>
      <c r="F25" s="21" t="s">
        <v>128</v>
      </c>
      <c r="G25" s="14" t="s">
        <v>84</v>
      </c>
      <c r="H25" s="25">
        <f>Amp1_Calc!$C$43</f>
        <v>1</v>
      </c>
      <c r="I25" s="6">
        <f>E25*H25*100</f>
        <v>0.1</v>
      </c>
      <c r="J25" s="14"/>
      <c r="L25" s="2"/>
      <c r="M25" s="6">
        <f>ABS(I25)</f>
        <v>0.1</v>
      </c>
      <c r="N25" s="17">
        <f>I25^2</f>
        <v>1.0000000000000002E-2</v>
      </c>
      <c r="O25" s="2" t="s">
        <v>9</v>
      </c>
    </row>
    <row r="26" spans="1:15" x14ac:dyDescent="0.35">
      <c r="B26" s="1" t="s">
        <v>26</v>
      </c>
    </row>
    <row r="27" spans="1:15" x14ac:dyDescent="0.35">
      <c r="G27" s="1"/>
      <c r="J27" s="1"/>
      <c r="M27" s="39" t="s">
        <v>68</v>
      </c>
      <c r="N27" s="33" t="s">
        <v>69</v>
      </c>
    </row>
    <row r="28" spans="1:15" x14ac:dyDescent="0.35">
      <c r="G28" s="1"/>
      <c r="J28" s="1"/>
      <c r="M28" s="6">
        <f>SUM(M23:M26)</f>
        <v>0.27910891089108814</v>
      </c>
      <c r="N28" s="6">
        <f>SQRT(SUM(N23:N26))</f>
        <v>0.16137037522480974</v>
      </c>
    </row>
    <row r="31" spans="1:15" ht="29" x14ac:dyDescent="0.35">
      <c r="A31" s="7" t="s">
        <v>59</v>
      </c>
      <c r="B31" s="7"/>
      <c r="C31" s="7"/>
      <c r="D31" s="36" t="s">
        <v>48</v>
      </c>
      <c r="E31" s="36" t="s">
        <v>49</v>
      </c>
      <c r="G31" s="36" t="s">
        <v>88</v>
      </c>
      <c r="H31" s="36" t="s">
        <v>36</v>
      </c>
      <c r="I31" s="36" t="s">
        <v>98</v>
      </c>
      <c r="M31" s="31"/>
      <c r="N31" s="31"/>
    </row>
    <row r="32" spans="1:15" ht="29" x14ac:dyDescent="0.35">
      <c r="A32" s="22" t="s">
        <v>38</v>
      </c>
      <c r="B32" s="22" t="s">
        <v>55</v>
      </c>
      <c r="C32" s="22" t="s">
        <v>73</v>
      </c>
      <c r="D32" s="22" t="s">
        <v>21</v>
      </c>
      <c r="E32" s="22" t="s">
        <v>21</v>
      </c>
      <c r="F32" s="22" t="s">
        <v>14</v>
      </c>
      <c r="G32" s="30" t="s">
        <v>89</v>
      </c>
      <c r="H32" s="23" t="s">
        <v>0</v>
      </c>
      <c r="I32" s="42" t="s">
        <v>96</v>
      </c>
      <c r="J32" s="34"/>
      <c r="K32" s="34"/>
      <c r="L32" s="34"/>
      <c r="M32" s="24" t="s">
        <v>50</v>
      </c>
      <c r="N32" s="24" t="s">
        <v>51</v>
      </c>
    </row>
    <row r="33" spans="1:15" x14ac:dyDescent="0.35">
      <c r="A33" s="1" t="s">
        <v>37</v>
      </c>
      <c r="B33" s="1" t="s">
        <v>78</v>
      </c>
      <c r="C33" s="1" t="s">
        <v>74</v>
      </c>
      <c r="D33" s="1" t="s">
        <v>76</v>
      </c>
      <c r="E33" s="1">
        <v>25</v>
      </c>
      <c r="F33" s="21" t="s">
        <v>16</v>
      </c>
      <c r="G33" s="14" t="s">
        <v>84</v>
      </c>
      <c r="H33" s="25">
        <f>Amp1_Calc!$C$40</f>
        <v>0.89999999999999858</v>
      </c>
      <c r="I33" s="6">
        <f>E33/1000000*$C$9*H33*100</f>
        <v>6.7499999999999893E-2</v>
      </c>
      <c r="J33" s="14"/>
      <c r="M33" s="6">
        <f>ABS(I33)</f>
        <v>6.7499999999999893E-2</v>
      </c>
      <c r="N33" s="17">
        <f>I33^2</f>
        <v>4.5562499999999857E-3</v>
      </c>
      <c r="O33" s="2" t="s">
        <v>9</v>
      </c>
    </row>
    <row r="34" spans="1:15" x14ac:dyDescent="0.35">
      <c r="A34" s="1" t="s">
        <v>39</v>
      </c>
      <c r="B34" s="1" t="s">
        <v>77</v>
      </c>
      <c r="C34" s="1" t="s">
        <v>74</v>
      </c>
      <c r="D34" s="1" t="s">
        <v>76</v>
      </c>
      <c r="E34" s="1">
        <v>25</v>
      </c>
      <c r="F34" s="21" t="s">
        <v>16</v>
      </c>
      <c r="G34" s="14" t="s">
        <v>84</v>
      </c>
      <c r="H34" s="25">
        <f>Amp1_Calc!$C$36</f>
        <v>-0.891089108910883</v>
      </c>
      <c r="I34" s="6">
        <f>E34/1000000*$C$9*H34*100</f>
        <v>-6.6831683168316225E-2</v>
      </c>
      <c r="J34" s="14"/>
      <c r="L34" s="2"/>
      <c r="M34" s="6">
        <f>ABS(I34)</f>
        <v>6.6831683168316225E-2</v>
      </c>
      <c r="N34" s="17">
        <f>I34^2</f>
        <v>4.4664738751102025E-3</v>
      </c>
      <c r="O34" s="2" t="s">
        <v>9</v>
      </c>
    </row>
    <row r="35" spans="1:15" x14ac:dyDescent="0.35">
      <c r="B35" s="1" t="s">
        <v>26</v>
      </c>
    </row>
    <row r="36" spans="1:15" x14ac:dyDescent="0.35">
      <c r="G36" s="1"/>
      <c r="H36" s="1"/>
      <c r="I36" s="1"/>
      <c r="M36" s="39" t="s">
        <v>68</v>
      </c>
      <c r="N36" s="33" t="s">
        <v>69</v>
      </c>
    </row>
    <row r="37" spans="1:15" x14ac:dyDescent="0.35">
      <c r="G37" s="1"/>
      <c r="H37" s="1"/>
      <c r="I37" s="1"/>
      <c r="M37" s="6">
        <f>SUM(M33:M35)</f>
        <v>0.13433168316831612</v>
      </c>
      <c r="N37" s="6">
        <f>SQRT(SUM(N33:N35))</f>
        <v>9.4988019639900848E-2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Amp1_Calc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2025-05-27T12:46:29Z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