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397BE447-4822-41EB-A667-46EE435ACA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ff_Amp_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E26" i="9" l="1"/>
  <c r="C23" i="8"/>
  <c r="C18" i="8"/>
  <c r="C33" i="8"/>
  <c r="C52" i="8"/>
  <c r="C51" i="8"/>
  <c r="C48" i="8"/>
  <c r="C47" i="8"/>
  <c r="C44" i="8"/>
  <c r="C43" i="8"/>
  <c r="C40" i="8"/>
  <c r="C39" i="8"/>
  <c r="C49" i="8" l="1"/>
  <c r="H29" i="9" s="1"/>
  <c r="I29" i="9" s="1"/>
  <c r="C53" i="8"/>
  <c r="C45" i="8"/>
  <c r="C41" i="8"/>
  <c r="H42" i="9" l="1"/>
  <c r="I42" i="9" s="1"/>
  <c r="H43" i="9"/>
  <c r="I43" i="9" s="1"/>
  <c r="H30" i="9"/>
  <c r="I30" i="9" s="1"/>
  <c r="H27" i="9"/>
  <c r="I27" i="9" s="1"/>
  <c r="H40" i="9"/>
  <c r="I40" i="9" s="1"/>
  <c r="H28" i="9"/>
  <c r="I28" i="9" s="1"/>
  <c r="H41" i="9"/>
  <c r="I41" i="9" s="1"/>
  <c r="C87" i="8"/>
  <c r="C86" i="8"/>
  <c r="C83" i="8"/>
  <c r="C82" i="8"/>
  <c r="C63" i="8"/>
  <c r="C62" i="8"/>
  <c r="C79" i="8"/>
  <c r="C78" i="8"/>
  <c r="C75" i="8"/>
  <c r="C74" i="8"/>
  <c r="C71" i="8"/>
  <c r="C70" i="8"/>
  <c r="C59" i="8"/>
  <c r="C58" i="8"/>
  <c r="C67" i="8"/>
  <c r="C66" i="8"/>
  <c r="C26" i="8"/>
  <c r="C37" i="8" s="1"/>
  <c r="C22" i="8"/>
  <c r="C21" i="8"/>
  <c r="C13" i="8"/>
  <c r="C14" i="8"/>
  <c r="J28" i="9" l="1"/>
  <c r="K28" i="9" s="1"/>
  <c r="M28" i="9" s="1"/>
  <c r="J30" i="9"/>
  <c r="K30" i="9" s="1"/>
  <c r="J29" i="9"/>
  <c r="K29" i="9" s="1"/>
  <c r="J40" i="9"/>
  <c r="K40" i="9" s="1"/>
  <c r="J43" i="9"/>
  <c r="K43" i="9" s="1"/>
  <c r="J41" i="9"/>
  <c r="K41" i="9" s="1"/>
  <c r="J42" i="9"/>
  <c r="K42" i="9" s="1"/>
  <c r="J26" i="9"/>
  <c r="J27" i="9"/>
  <c r="K27" i="9" s="1"/>
  <c r="C88" i="8"/>
  <c r="C64" i="8"/>
  <c r="C84" i="8"/>
  <c r="C80" i="8"/>
  <c r="C76" i="8"/>
  <c r="C72" i="8"/>
  <c r="C68" i="8"/>
  <c r="C35" i="8"/>
  <c r="C24" i="8"/>
  <c r="C60" i="8"/>
  <c r="H26" i="9"/>
  <c r="I26" i="9" s="1"/>
  <c r="J39" i="9"/>
  <c r="J38" i="9"/>
  <c r="J37" i="9"/>
  <c r="J25" i="9"/>
  <c r="J24" i="9"/>
  <c r="J23" i="9"/>
  <c r="N28" i="9" l="1"/>
  <c r="M41" i="9"/>
  <c r="N41" i="9"/>
  <c r="N40" i="9"/>
  <c r="M40" i="9"/>
  <c r="N42" i="9"/>
  <c r="M42" i="9"/>
  <c r="M43" i="9"/>
  <c r="N43" i="9"/>
  <c r="N29" i="9"/>
  <c r="M29" i="9"/>
  <c r="N30" i="9"/>
  <c r="M30" i="9"/>
  <c r="K26" i="9"/>
  <c r="N26" i="9" s="1"/>
  <c r="N27" i="9"/>
  <c r="M27" i="9"/>
  <c r="H24" i="10"/>
  <c r="I24" i="10" s="1"/>
  <c r="H35" i="10"/>
  <c r="H38" i="9"/>
  <c r="I38" i="9" s="1"/>
  <c r="K38" i="9" s="1"/>
  <c r="M38" i="9" s="1"/>
  <c r="H24" i="9"/>
  <c r="I24" i="9" s="1"/>
  <c r="K24" i="9" s="1"/>
  <c r="N24" i="9" s="1"/>
  <c r="H34" i="10"/>
  <c r="I34" i="10" s="1"/>
  <c r="H23" i="10"/>
  <c r="I23" i="10" s="1"/>
  <c r="H36" i="10"/>
  <c r="I36" i="10" s="1"/>
  <c r="H25" i="10"/>
  <c r="I25" i="10" s="1"/>
  <c r="H26" i="10"/>
  <c r="I26" i="10" s="1"/>
  <c r="H37" i="10"/>
  <c r="I37" i="10" s="1"/>
  <c r="H39" i="9"/>
  <c r="I39" i="9" s="1"/>
  <c r="K39" i="9" s="1"/>
  <c r="N39" i="9" s="1"/>
  <c r="H25" i="9"/>
  <c r="I25" i="9" s="1"/>
  <c r="K25" i="9" s="1"/>
  <c r="M25" i="9" s="1"/>
  <c r="H37" i="9"/>
  <c r="I37" i="9" s="1"/>
  <c r="K37" i="9" s="1"/>
  <c r="M37" i="9" s="1"/>
  <c r="H23" i="9"/>
  <c r="I23" i="9" s="1"/>
  <c r="K23" i="9" s="1"/>
  <c r="I35" i="10"/>
  <c r="M26" i="9" l="1"/>
  <c r="N25" i="10"/>
  <c r="M25" i="10"/>
  <c r="N26" i="10"/>
  <c r="M26" i="10"/>
  <c r="N37" i="10"/>
  <c r="M37" i="10"/>
  <c r="N23" i="10"/>
  <c r="M23" i="10"/>
  <c r="N24" i="10"/>
  <c r="M24" i="10"/>
  <c r="N36" i="10"/>
  <c r="M36" i="10"/>
  <c r="M24" i="9"/>
  <c r="M39" i="9"/>
  <c r="M46" i="9" s="1"/>
  <c r="N25" i="9"/>
  <c r="N38" i="9"/>
  <c r="N37" i="9"/>
  <c r="N35" i="10"/>
  <c r="M35" i="10"/>
  <c r="N34" i="10"/>
  <c r="M34" i="10"/>
  <c r="N23" i="9"/>
  <c r="M23" i="9"/>
  <c r="M40" i="10" l="1"/>
  <c r="N33" i="9"/>
  <c r="C13" i="9" s="1"/>
  <c r="N40" i="10"/>
  <c r="D13" i="10" s="1"/>
  <c r="M29" i="10"/>
  <c r="N29" i="10"/>
  <c r="C13" i="10" s="1"/>
  <c r="N46" i="9"/>
  <c r="D13" i="9" s="1"/>
  <c r="M33" i="9"/>
  <c r="E13" i="9" l="1"/>
  <c r="F13" i="9" s="1"/>
  <c r="G13" i="9" s="1"/>
  <c r="E13" i="10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6" authorId="0" shapeId="0" xr:uid="{F9ED46E1-0FB2-4BF4-8C22-D27AF6CC5E61}">
      <text>
        <r>
          <rPr>
            <sz val="9"/>
            <color indexed="81"/>
            <rFont val="Tahoma"/>
            <family val="2"/>
          </rPr>
          <t xml:space="preserve">Get ratio from CMRR dB spec.
Calc vcmr at input.
Ex: Vcmr = Vcm_vp/ 10^(CMRR/20)
             = 5V / 10^(80/20)
             = 0.0005 </t>
        </r>
      </text>
    </comment>
    <comment ref="B31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2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2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6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44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5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5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8E9AF447-273C-48B2-A578-FE4B97521DE5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D12" authorId="0" shapeId="0" xr:uid="{F9429F5A-92A6-4B39-8ABE-8AB1AE384DAD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7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3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8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9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9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<sst xmlns="http://schemas.openxmlformats.org/spreadsheetml/2006/main" count="436" uniqueCount="185">
  <si>
    <t>S</t>
  </si>
  <si>
    <t>R1</t>
  </si>
  <si>
    <t>R2</t>
  </si>
  <si>
    <t>K</t>
  </si>
  <si>
    <t>K'</t>
  </si>
  <si>
    <t>V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</si>
  <si>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</si>
  <si>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</si>
  <si>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</si>
  <si>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</si>
  <si>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</si>
  <si>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</si>
  <si>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</si>
  <si>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</si>
  <si>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</si>
  <si>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</si>
  <si>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</si>
  <si>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</si>
  <si>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</si>
  <si>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</si>
  <si>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</si>
  <si>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</si>
  <si>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</si>
  <si>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</si>
  <si>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</si>
  <si>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</si>
  <si>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</si>
  <si>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</si>
  <si>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</si>
  <si>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</si>
  <si>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</si>
  <si>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</si>
  <si>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</si>
  <si>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</si>
  <si>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</si>
  <si>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</si>
  <si>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</si>
  <si>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</si>
  <si>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 xml:space="preserve">((K'-K)/K) / 0.01 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</si>
  <si>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</si>
  <si>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</si>
  <si>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</si>
  <si>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</si>
  <si>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</si>
  <si>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</si>
  <si>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</si>
  <si>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</si>
  <si>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S   (How does each error source contribute to a signal Gain error)</t>
  </si>
  <si>
    <t>Offset Error RTI</t>
  </si>
  <si>
    <t>Components</t>
  </si>
  <si>
    <t>Name</t>
  </si>
  <si>
    <t>abs(ΔVoffset_rti)</t>
  </si>
  <si>
    <t>Δvoffset_rti^2</t>
  </si>
  <si>
    <t>Drift Errors</t>
  </si>
  <si>
    <t>U1 voff</t>
  </si>
  <si>
    <t xml:space="preserve">                 Similarly, a 0.1% change in R causes a 0.05% change in the K.</t>
  </si>
  <si>
    <t xml:space="preserve">   Error Budget Results</t>
  </si>
  <si>
    <t>Spec Error (V)</t>
  </si>
  <si>
    <t>Spec Error (%)</t>
  </si>
  <si>
    <t>WCA Total</t>
  </si>
  <si>
    <t>RSS Total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</si>
  <si>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</si>
  <si>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</si>
  <si>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</si>
  <si>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</si>
  <si>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</si>
  <si>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</si>
  <si>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voff</t>
  </si>
  <si>
    <t>U1 voff TC</t>
  </si>
  <si>
    <t>voff_TC</t>
  </si>
  <si>
    <t>S, Analysis Node</t>
  </si>
  <si>
    <t>S, vo</t>
  </si>
  <si>
    <t>vo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</si>
  <si>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</si>
  <si>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</si>
  <si>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</si>
  <si>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</si>
  <si>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</si>
  <si>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</si>
  <si>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</si>
  <si>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</si>
  <si>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</si>
  <si>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</si>
  <si>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</si>
  <si>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</si>
  <si>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</si>
  <si>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</si>
  <si>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</si>
  <si>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</si>
  <si>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</si>
  <si>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</si>
  <si>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</si>
  <si>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</si>
  <si>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</si>
  <si>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Kp</t>
  </si>
  <si>
    <t>vcm</t>
  </si>
  <si>
    <t>R3</t>
  </si>
  <si>
    <t>R4</t>
  </si>
  <si>
    <t>Kn</t>
  </si>
  <si>
    <t>vo/vsp = (R4/(R3+R4)*(R2/R1 + 1)</t>
  </si>
  <si>
    <t>vo/vsn = -R2/R1</t>
  </si>
  <si>
    <t>vsp</t>
  </si>
  <si>
    <t>vsn</t>
  </si>
  <si>
    <t>vcm + vs/2</t>
  </si>
  <si>
    <t>vcm - vs/2</t>
  </si>
  <si>
    <t>diff input</t>
  </si>
  <si>
    <t>common mode</t>
  </si>
  <si>
    <t>Inputs</t>
  </si>
  <si>
    <t>Output</t>
  </si>
  <si>
    <t>U1 ib</t>
  </si>
  <si>
    <t>R3||R4</t>
  </si>
  <si>
    <t>(1/(1/R3+1/R4)</t>
  </si>
  <si>
    <t>S = vo / ib = (R3||R4)*(R2/R1+1) - R2</t>
  </si>
  <si>
    <t>U1 iboff</t>
  </si>
  <si>
    <t>S = vo / iboff = 1/2*((R3||R4)*(R2/R1+1) + R2)</t>
  </si>
  <si>
    <t>R2, Kp</t>
  </si>
  <si>
    <t>1/(R3/R4+1)*(R2/R1+1)</t>
  </si>
  <si>
    <t>`</t>
  </si>
  <si>
    <t>K( R2*1.01 )</t>
  </si>
  <si>
    <t>K( R1*1.01 )</t>
  </si>
  <si>
    <t>R2, Kn</t>
  </si>
  <si>
    <t>-R2/R1</t>
  </si>
  <si>
    <t>1/(R3/R4+1)*(R2/R1+1)+(R2/R1)</t>
  </si>
  <si>
    <t>Circuit Calc - Differential Amp</t>
  </si>
  <si>
    <t>1/2*(1/(R3/R4+1)*(R2/R1+1)+(R2/R1))</t>
  </si>
  <si>
    <t>R1, 1/2 (Kp-Kn)</t>
  </si>
  <si>
    <t>R2, 1/2 (Kp-Kn)</t>
  </si>
  <si>
    <t>R1, Kp</t>
  </si>
  <si>
    <t>R1, Kn</t>
  </si>
  <si>
    <t>R3, 1/2 (Kp-Kn)</t>
  </si>
  <si>
    <t>K( R3*1.01 )</t>
  </si>
  <si>
    <t>R4, 1/2 (Kp-Kn)</t>
  </si>
  <si>
    <t>K( R4*1.01 )</t>
  </si>
  <si>
    <t>ib</t>
  </si>
  <si>
    <t>iboff</t>
  </si>
  <si>
    <t>ib_TC</t>
  </si>
  <si>
    <t>iboff_TC</t>
  </si>
  <si>
    <t>U1 ib TC</t>
  </si>
  <si>
    <t>U1 iboff TC</t>
  </si>
  <si>
    <t>R2 Tol, Kp-Kn</t>
  </si>
  <si>
    <t>R1 Tol, Kp-Kn</t>
  </si>
  <si>
    <t>R3 Tol, Kp-Kn</t>
  </si>
  <si>
    <t>R4 Tol, Kp-Kn</t>
  </si>
  <si>
    <t>R1 TC, Kp-Kn</t>
  </si>
  <si>
    <t>R2 TC, Kp-Kn</t>
  </si>
  <si>
    <t>R3 TC, Kp-Kn</t>
  </si>
  <si>
    <t>R4 TC, Kp-Kn</t>
  </si>
  <si>
    <t>CMRR</t>
  </si>
  <si>
    <t>U1 voff, vcmr</t>
  </si>
  <si>
    <t>U1 vcmr</t>
  </si>
  <si>
    <t>1/2*1/(R3/R4+1)*(R2/R1+1)+(R2/R1)</t>
  </si>
  <si>
    <t>vo'</t>
  </si>
  <si>
    <t>vo( R1*1.01 )</t>
  </si>
  <si>
    <t>vcm*(1/(R3/R4+1)*(R2/R1+1) - (R2/R1))</t>
  </si>
  <si>
    <t>R1 Tol (cm)</t>
  </si>
  <si>
    <t xml:space="preserve">(vo' - vo) / 0.01 </t>
  </si>
  <si>
    <t>vo( R2*1.01 )</t>
  </si>
  <si>
    <t>R2 Tol (cm)</t>
  </si>
  <si>
    <t>R3 Tol (cm) vs=0</t>
  </si>
  <si>
    <t>vo( R3*1.01 )</t>
  </si>
  <si>
    <t>R4 Tol (cm) vs=0</t>
  </si>
  <si>
    <t>R1 (cm) vs=0</t>
  </si>
  <si>
    <t>R2 (cm) vs=0</t>
  </si>
  <si>
    <t>vo( R4*1.01 )</t>
  </si>
  <si>
    <t>R3 Tol (cm)</t>
  </si>
  <si>
    <t>R4 Tol (cm)</t>
  </si>
  <si>
    <t>R1 TC (cm)</t>
  </si>
  <si>
    <t>R2 TC (cm)</t>
  </si>
  <si>
    <t>R3 TC (cm)</t>
  </si>
  <si>
    <t>R4 TC (cm)</t>
  </si>
  <si>
    <t>S = vo / voff = R/R1+1</t>
  </si>
  <si>
    <t>Offset Errors - Differential Amp</t>
  </si>
  <si>
    <t>Gain Errors - Differential Amp</t>
  </si>
  <si>
    <t>vin+</t>
  </si>
  <si>
    <t>vin pos</t>
  </si>
  <si>
    <t>vin neg</t>
  </si>
  <si>
    <t>vin</t>
  </si>
  <si>
    <t>vin-</t>
  </si>
  <si>
    <t>Signal Gains</t>
  </si>
  <si>
    <t>vsp*Kp + vsn*Kn</t>
  </si>
  <si>
    <t>R at vp</t>
  </si>
  <si>
    <t>vp_cm</t>
  </si>
  <si>
    <t>vcm*R4/(R3+R4)</t>
  </si>
  <si>
    <t>U1 inputs</t>
  </si>
  <si>
    <t>U1 common-mode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</si>
</sst>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  <xf numFmtId="169" fontId="0" fillId="0" borderId="0" xfId="0" applyNumberFormat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BF-4263-B750-A433D1CAE8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BF-4263-B750-A433D1CAE8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BF-4263-B750-A433D1CAE8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72-448C-9A44-4105EC7FD7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72-448C-9A44-4105EC7FD70C}"/>
              </c:ext>
            </c:extLst>
          </c:dPt>
          <c:cat>
            <c:strRef>
              <c:f>'Offset Errors'!$B$23:$B$31</c:f>
              <c:strCache>
                <c:ptCount val="9"/>
                <c:pt idx="0">
                  <c:v>U1 voff</c:v>
                </c:pt>
                <c:pt idx="1">
                  <c:v>U1 ib</c:v>
                </c:pt>
                <c:pt idx="2">
                  <c:v>U1 iboff</c:v>
                </c:pt>
                <c:pt idx="3">
                  <c:v>U1 vcmr</c:v>
                </c:pt>
                <c:pt idx="4">
                  <c:v>R1 Tol (cm)</c:v>
                </c:pt>
                <c:pt idx="5">
                  <c:v>R2 Tol (cm)</c:v>
                </c:pt>
                <c:pt idx="6">
                  <c:v>R3 Tol (cm)</c:v>
                </c:pt>
                <c:pt idx="7">
                  <c:v>R4 Tol (cm)</c:v>
                </c:pt>
                <c:pt idx="8">
                  <c:v>end</c:v>
                </c:pt>
              </c:strCache>
            </c:strRef>
          </c:cat>
          <c:val>
            <c:numRef>
              <c:f>'Offset Errors'!$M$23:$M$31</c:f>
              <c:numCache>
                <c:formatCode>0.000000</c:formatCode>
                <c:ptCount val="9"/>
                <c:pt idx="0">
                  <c:v>1.2000000000000002E-4</c:v>
                </c:pt>
                <c:pt idx="1">
                  <c:v>0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8.250825082508406E-4</c:v>
                </c:pt>
                <c:pt idx="5">
                  <c:v>8.3333333333328601E-4</c:v>
                </c:pt>
                <c:pt idx="6">
                  <c:v>8.3194675540765317E-4</c:v>
                </c:pt>
                <c:pt idx="7">
                  <c:v>8.2644628099171058E-4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48016959476221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Errors'!$M$36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9-4C12-B7AC-39053FFC76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9-4C12-B7AC-39053FFC76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9-4C12-B7AC-39053FFC76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9-4C12-B7AC-39053FFC7680}"/>
              </c:ext>
            </c:extLst>
          </c:dPt>
          <c:cat>
            <c:strRef>
              <c:f>'Offset Errors'!$B$37:$B$44</c:f>
              <c:strCache>
                <c:ptCount val="8"/>
                <c:pt idx="0">
                  <c:v>U1 voff TC</c:v>
                </c:pt>
                <c:pt idx="1">
                  <c:v>U1 ib TC</c:v>
                </c:pt>
                <c:pt idx="2">
                  <c:v>U1 iboff TC</c:v>
                </c:pt>
                <c:pt idx="3">
                  <c:v>R1 TC (cm)</c:v>
                </c:pt>
                <c:pt idx="4">
                  <c:v>R2 TC (cm)</c:v>
                </c:pt>
                <c:pt idx="5">
                  <c:v>R3 TC (cm)</c:v>
                </c:pt>
                <c:pt idx="6">
                  <c:v>R4 TC (cm)</c:v>
                </c:pt>
                <c:pt idx="7">
                  <c:v>end</c:v>
                </c:pt>
              </c:strCache>
            </c:strRef>
          </c:cat>
          <c:val>
            <c:numRef>
              <c:f>'Offset Errors'!$M$37:$M$44</c:f>
              <c:numCache>
                <c:formatCode>0.000000</c:formatCode>
                <c:ptCount val="8"/>
                <c:pt idx="0">
                  <c:v>3.6000000000000002E-4</c:v>
                </c:pt>
                <c:pt idx="1">
                  <c:v>0</c:v>
                </c:pt>
                <c:pt idx="2">
                  <c:v>3.0000000000000001E-3</c:v>
                </c:pt>
                <c:pt idx="3">
                  <c:v>6.1881188118813042E-4</c:v>
                </c:pt>
                <c:pt idx="4">
                  <c:v>6.2499999999996445E-4</c:v>
                </c:pt>
                <c:pt idx="5">
                  <c:v>6.2396006655573988E-4</c:v>
                </c:pt>
                <c:pt idx="6">
                  <c:v>6.1983471074378294E-4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197414501548770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D-456B-A8D9-FB9A76B917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D-4A53-86F4-7E18789B809C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R1 Tol, Kp-Kn</c:v>
                </c:pt>
                <c:pt idx="1">
                  <c:v>R2 Tol, Kp-Kn</c:v>
                </c:pt>
                <c:pt idx="2">
                  <c:v>R3 Tol, Kp-Kn</c:v>
                </c:pt>
                <c:pt idx="3">
                  <c:v>R4 Tol, Kp-Kn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9.075907590759158E-2</c:v>
                </c:pt>
                <c:pt idx="1">
                  <c:v>9.1666666666666785E-2</c:v>
                </c:pt>
                <c:pt idx="2">
                  <c:v>8.3194675540774199E-3</c:v>
                </c:pt>
                <c:pt idx="3">
                  <c:v>8.2644628099171058E-3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8991619551424841"/>
          <c:h val="0.72774436782819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Errors'!$M$33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2-4B2A-96D8-EFAC682273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2-4B2A-96D8-EFAC6822733A}"/>
              </c:ext>
            </c:extLst>
          </c:dPt>
          <c:cat>
            <c:strRef>
              <c:f>'Gain Errors'!$B$34:$B$38</c:f>
              <c:strCache>
                <c:ptCount val="5"/>
                <c:pt idx="0">
                  <c:v>R1 TC, Kp-Kn</c:v>
                </c:pt>
                <c:pt idx="1">
                  <c:v>R2 TC, Kp-Kn</c:v>
                </c:pt>
                <c:pt idx="2">
                  <c:v>R3 TC, Kp-Kn</c:v>
                </c:pt>
                <c:pt idx="3">
                  <c:v>R4 TC, Kp-Kn</c:v>
                </c:pt>
                <c:pt idx="4">
                  <c:v>end</c:v>
                </c:pt>
              </c:strCache>
            </c:strRef>
          </c:cat>
          <c:val>
            <c:numRef>
              <c:f>'Gain Errors'!$M$34:$M$38</c:f>
              <c:numCache>
                <c:formatCode>0.000</c:formatCode>
                <c:ptCount val="5"/>
                <c:pt idx="0">
                  <c:v>6.8069306930693685E-2</c:v>
                </c:pt>
                <c:pt idx="1">
                  <c:v>6.8750000000000089E-2</c:v>
                </c:pt>
                <c:pt idx="2">
                  <c:v>6.2396006655580649E-3</c:v>
                </c:pt>
                <c:pt idx="3">
                  <c:v>6.1983471074378294E-3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3167452092378491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36286</xdr:colOff>
      <xdr:row>6</xdr:row>
      <xdr:rowOff>108858</xdr:rowOff>
    </xdr:from>
    <xdr:to>
      <xdr:col>16</xdr:col>
      <xdr:colOff>154213</xdr:colOff>
      <xdr:row>22</xdr:row>
      <xdr:rowOff>114518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8E6DD0-99DD-A890-8690-727B7CD6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3215" y="1333501"/>
          <a:ext cx="6340927" cy="2908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93"/>
  <sheetViews>
    <sheetView tabSelected="1" zoomScale="70" zoomScaleNormal="70" workbookViewId="0">
      <selection activeCell="G4" sqref="G4"/>
    </sheetView>
  </sheetViews>
  <sheetFormatPr defaultRowHeight="14.5" x14ac:dyDescent="0.35"/>
  <cols>
    <col min="1" max="1" width="18.1796875" customWidth="1"/>
    <col min="2" max="2" width="12.1796875" customWidth="1"/>
    <col min="3" max="3" width="12.453125" customWidth="1"/>
    <col min="6" max="6" width="11.81640625" customWidth="1"/>
    <col min="7" max="7" width="10.81640625" customWidth="1"/>
  </cols>
  <sheetData>
    <row r="1" spans="1:8" ht="21" x14ac:dyDescent="0.5">
      <c r="A1" s="43" t="s">
        <v>123</v>
      </c>
      <c r="F1" s="1"/>
    </row>
    <row r="2" spans="1:8" ht="18.5" x14ac:dyDescent="0.45">
      <c r="A2" s="47" t="s">
        <v>89</v>
      </c>
      <c r="E2" s="3"/>
      <c r="F2" s="2" t="s">
        <v>18</v>
      </c>
    </row>
    <row r="3" spans="1:8" x14ac:dyDescent="0.35">
      <c r="E3" s="4"/>
      <c r="F3" s="2" t="s">
        <v>19</v>
      </c>
      <c r="H3" s="1"/>
    </row>
    <row r="4" spans="1:8" x14ac:dyDescent="0.35">
      <c r="F4" s="1"/>
      <c r="G4" s="1"/>
      <c r="H4" s="1"/>
    </row>
    <row r="5" spans="1:8" x14ac:dyDescent="0.35">
      <c r="A5" s="5" t="s">
        <v>62</v>
      </c>
      <c r="B5" s="5"/>
      <c r="C5" s="5"/>
      <c r="D5" s="5"/>
      <c r="E5" s="5"/>
    </row>
    <row r="7" spans="1:8" x14ac:dyDescent="0.35">
      <c r="A7" t="s">
        <v>49</v>
      </c>
      <c r="B7" s="3" t="s">
        <v>1</v>
      </c>
      <c r="C7" s="1">
        <v>100000</v>
      </c>
      <c r="D7" t="s">
        <v>9</v>
      </c>
    </row>
    <row r="8" spans="1:8" x14ac:dyDescent="0.35">
      <c r="B8" s="3" t="s">
        <v>2</v>
      </c>
      <c r="C8" s="1">
        <v>500000</v>
      </c>
      <c r="D8" t="s">
        <v>9</v>
      </c>
    </row>
    <row r="10" spans="1:8" x14ac:dyDescent="0.35">
      <c r="B10" s="3" t="s">
        <v>96</v>
      </c>
      <c r="C10" s="1">
        <v>100000</v>
      </c>
      <c r="D10" t="s">
        <v>9</v>
      </c>
    </row>
    <row r="11" spans="1:8" x14ac:dyDescent="0.35">
      <c r="B11" s="3" t="s">
        <v>97</v>
      </c>
      <c r="C11" s="1">
        <v>500000</v>
      </c>
      <c r="D11" t="s">
        <v>9</v>
      </c>
    </row>
    <row r="13" spans="1:8" x14ac:dyDescent="0.35">
      <c r="A13" t="s">
        <v>178</v>
      </c>
      <c r="B13" s="4" t="s">
        <v>94</v>
      </c>
      <c r="C13" s="6">
        <f>($C$11/(($C$10+$C$11))*($C$8/$C$7+1))</f>
        <v>5</v>
      </c>
      <c r="D13" t="s">
        <v>99</v>
      </c>
    </row>
    <row r="14" spans="1:8" x14ac:dyDescent="0.35">
      <c r="B14" s="4" t="s">
        <v>98</v>
      </c>
      <c r="C14" s="6">
        <f>-$C$8/$C$7</f>
        <v>-5</v>
      </c>
      <c r="D14" t="s">
        <v>100</v>
      </c>
    </row>
    <row r="16" spans="1:8" x14ac:dyDescent="0.35">
      <c r="A16" t="s">
        <v>107</v>
      </c>
      <c r="B16" s="3" t="s">
        <v>173</v>
      </c>
      <c r="C16" s="6">
        <v>0.05</v>
      </c>
      <c r="D16" s="19" t="s">
        <v>174</v>
      </c>
    </row>
    <row r="17" spans="1:10" x14ac:dyDescent="0.35">
      <c r="B17" s="3" t="s">
        <v>177</v>
      </c>
      <c r="C17" s="6">
        <v>-0.05</v>
      </c>
      <c r="D17" s="19" t="s">
        <v>175</v>
      </c>
    </row>
    <row r="18" spans="1:10" x14ac:dyDescent="0.35">
      <c r="B18" s="4" t="s">
        <v>176</v>
      </c>
      <c r="C18" s="6">
        <f>C16-C17</f>
        <v>0.1</v>
      </c>
      <c r="D18" s="19" t="s">
        <v>105</v>
      </c>
    </row>
    <row r="19" spans="1:10" x14ac:dyDescent="0.35">
      <c r="B19" s="3" t="s">
        <v>95</v>
      </c>
      <c r="C19" s="10">
        <v>5</v>
      </c>
      <c r="D19" s="19" t="s">
        <v>106</v>
      </c>
    </row>
    <row r="20" spans="1:10" x14ac:dyDescent="0.35">
      <c r="C20" s="10"/>
      <c r="D20" s="19"/>
    </row>
    <row r="21" spans="1:10" x14ac:dyDescent="0.35">
      <c r="A21" t="s">
        <v>183</v>
      </c>
      <c r="B21" s="4" t="s">
        <v>101</v>
      </c>
      <c r="C21" s="6">
        <f>$C$18/2+$C$19</f>
        <v>5.05</v>
      </c>
      <c r="D21" s="19" t="s">
        <v>103</v>
      </c>
    </row>
    <row r="22" spans="1:10" x14ac:dyDescent="0.35">
      <c r="B22" s="4" t="s">
        <v>102</v>
      </c>
      <c r="C22" s="6">
        <f>-$C$18/2+$C$19</f>
        <v>4.95</v>
      </c>
      <c r="D22" s="19" t="s">
        <v>104</v>
      </c>
    </row>
    <row r="23" spans="1:10" x14ac:dyDescent="0.35">
      <c r="A23" t="s">
        <v>184</v>
      </c>
      <c r="B23" s="4" t="s">
        <v>181</v>
      </c>
      <c r="C23" s="6">
        <f>$C$19*$C$11/($C$10+$C$11)</f>
        <v>4.166666666666667</v>
      </c>
      <c r="D23" s="19" t="s">
        <v>182</v>
      </c>
    </row>
    <row r="24" spans="1:10" x14ac:dyDescent="0.35">
      <c r="A24" t="s">
        <v>108</v>
      </c>
      <c r="B24" s="4" t="s">
        <v>72</v>
      </c>
      <c r="C24" s="6">
        <f>$C$21*$C$13+$C$22*$C$14</f>
        <v>0.5</v>
      </c>
      <c r="D24" t="s">
        <v>179</v>
      </c>
    </row>
    <row r="26" spans="1:10" x14ac:dyDescent="0.35">
      <c r="A26" t="s">
        <v>180</v>
      </c>
      <c r="B26" s="4" t="s">
        <v>110</v>
      </c>
      <c r="C26" s="16">
        <f>1/(1/$C$10+1/$C$11)</f>
        <v>83333.333333333328</v>
      </c>
      <c r="D26" t="s">
        <v>111</v>
      </c>
    </row>
    <row r="29" spans="1:10" x14ac:dyDescent="0.35">
      <c r="A29" s="15" t="s">
        <v>40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35">
      <c r="A30" t="s">
        <v>88</v>
      </c>
      <c r="B30" s="9"/>
      <c r="E30" s="9"/>
    </row>
    <row r="31" spans="1:10" x14ac:dyDescent="0.35">
      <c r="A31" s="7"/>
      <c r="B31" s="9"/>
      <c r="E31" s="9"/>
    </row>
    <row r="32" spans="1:10" x14ac:dyDescent="0.35">
      <c r="A32" s="8"/>
      <c r="B32" t="s">
        <v>70</v>
      </c>
    </row>
    <row r="33" spans="1:4" x14ac:dyDescent="0.35">
      <c r="A33" s="11" t="s">
        <v>148</v>
      </c>
      <c r="B33" s="4" t="s">
        <v>71</v>
      </c>
      <c r="C33" s="10">
        <f>$C$8/$C$7+1</f>
        <v>6</v>
      </c>
      <c r="D33" s="2" t="s">
        <v>170</v>
      </c>
    </row>
    <row r="34" spans="1:4" x14ac:dyDescent="0.35">
      <c r="A34" s="11"/>
      <c r="C34" s="10"/>
    </row>
    <row r="35" spans="1:4" x14ac:dyDescent="0.35">
      <c r="A35" s="11" t="s">
        <v>109</v>
      </c>
      <c r="B35" s="4" t="s">
        <v>71</v>
      </c>
      <c r="C35" s="16">
        <f>$C$26*($C$8/$C$7+1)-$C$8</f>
        <v>0</v>
      </c>
      <c r="D35" s="2" t="s">
        <v>112</v>
      </c>
    </row>
    <row r="36" spans="1:4" x14ac:dyDescent="0.35">
      <c r="A36" s="11"/>
      <c r="C36" s="16"/>
      <c r="D36" s="2"/>
    </row>
    <row r="37" spans="1:4" x14ac:dyDescent="0.35">
      <c r="A37" s="11" t="s">
        <v>113</v>
      </c>
      <c r="B37" s="4" t="s">
        <v>71</v>
      </c>
      <c r="C37" s="16">
        <f>1/2*($C$26*($C$8/$C$7+1)+$C$8)</f>
        <v>500000</v>
      </c>
      <c r="D37" s="2" t="s">
        <v>114</v>
      </c>
    </row>
    <row r="38" spans="1:4" x14ac:dyDescent="0.35">
      <c r="A38" s="11"/>
      <c r="C38" s="10"/>
      <c r="D38" s="2"/>
    </row>
    <row r="39" spans="1:4" x14ac:dyDescent="0.35">
      <c r="A39" t="s">
        <v>161</v>
      </c>
      <c r="B39" s="4" t="s">
        <v>72</v>
      </c>
      <c r="C39" s="6">
        <f>$C$19*(1/($C$10/$C$11+1)*($C$8/$C$7+1)-(C$8/$C$7))</f>
        <v>0</v>
      </c>
      <c r="D39" t="s">
        <v>153</v>
      </c>
    </row>
    <row r="40" spans="1:4" x14ac:dyDescent="0.35">
      <c r="B40" s="4" t="s">
        <v>151</v>
      </c>
      <c r="C40" s="6">
        <f>$C$19*(1/($C$10/$C$11+1)*($C$8/($C$7*1.01)+1)-(C$8/($C$7*1.01)))</f>
        <v>4.1254125412542031E-2</v>
      </c>
      <c r="D40" t="s">
        <v>152</v>
      </c>
    </row>
    <row r="41" spans="1:4" x14ac:dyDescent="0.35">
      <c r="B41" s="4" t="s">
        <v>0</v>
      </c>
      <c r="C41" s="25">
        <f>(C40-C39)/0.01</f>
        <v>4.1254125412542031</v>
      </c>
      <c r="D41" s="2" t="s">
        <v>155</v>
      </c>
    </row>
    <row r="42" spans="1:4" x14ac:dyDescent="0.35">
      <c r="A42" s="8"/>
      <c r="C42" s="10"/>
      <c r="D42" s="2"/>
    </row>
    <row r="43" spans="1:4" x14ac:dyDescent="0.35">
      <c r="A43" t="s">
        <v>162</v>
      </c>
      <c r="B43" s="4" t="s">
        <v>72</v>
      </c>
      <c r="C43" s="6">
        <f>$C$19*(1/($C$10/$C$11+1)*($C$8/$C$7+1)-(C$8/$C$7))</f>
        <v>0</v>
      </c>
      <c r="D43" t="s">
        <v>153</v>
      </c>
    </row>
    <row r="44" spans="1:4" x14ac:dyDescent="0.35">
      <c r="B44" s="4" t="s">
        <v>151</v>
      </c>
      <c r="C44" s="6">
        <f>$C$19*(1/($C$10/$C$11+1)*($C$8*1.01/$C$7+1)-(C$8*1.01/$C$7))</f>
        <v>-4.1666666666664298E-2</v>
      </c>
      <c r="D44" t="s">
        <v>156</v>
      </c>
    </row>
    <row r="45" spans="1:4" x14ac:dyDescent="0.35">
      <c r="B45" s="4" t="s">
        <v>0</v>
      </c>
      <c r="C45" s="25">
        <f>(C44-C43)/0.01</f>
        <v>-4.1666666666664298</v>
      </c>
      <c r="D45" s="2" t="s">
        <v>155</v>
      </c>
    </row>
    <row r="46" spans="1:4" x14ac:dyDescent="0.35">
      <c r="A46" s="8"/>
      <c r="C46" s="10"/>
      <c r="D46" s="2"/>
    </row>
    <row r="47" spans="1:4" x14ac:dyDescent="0.35">
      <c r="A47" t="s">
        <v>158</v>
      </c>
      <c r="B47" s="4" t="s">
        <v>72</v>
      </c>
      <c r="C47" s="6">
        <f>$C$19*(1/($C$10/$C$11+1)*($C$8/$C$7+1)-(C$8/$C$7))</f>
        <v>0</v>
      </c>
      <c r="D47" t="s">
        <v>153</v>
      </c>
    </row>
    <row r="48" spans="1:4" x14ac:dyDescent="0.35">
      <c r="B48" s="4" t="s">
        <v>151</v>
      </c>
      <c r="C48" s="6">
        <f>$C$19*(1/($C$10*1.01/$C$11+1)*($C$8/$C$7+1)-(C$8/$C$7))</f>
        <v>-4.1597337770382659E-2</v>
      </c>
      <c r="D48" t="s">
        <v>159</v>
      </c>
    </row>
    <row r="49" spans="1:10" x14ac:dyDescent="0.35">
      <c r="B49" s="4" t="s">
        <v>0</v>
      </c>
      <c r="C49" s="25">
        <f>(C48-C47)/0.01</f>
        <v>-4.1597337770382659</v>
      </c>
      <c r="D49" s="2" t="s">
        <v>155</v>
      </c>
    </row>
    <row r="50" spans="1:10" x14ac:dyDescent="0.35">
      <c r="A50" s="8"/>
      <c r="C50" s="10"/>
      <c r="D50" s="2"/>
    </row>
    <row r="51" spans="1:10" x14ac:dyDescent="0.35">
      <c r="A51" t="s">
        <v>160</v>
      </c>
      <c r="B51" s="4" t="s">
        <v>72</v>
      </c>
      <c r="C51" s="6">
        <f>$C$19*(1/($C$10/$C$11+1)*($C$8/$C$7+1)-(C$8/$C$7))</f>
        <v>0</v>
      </c>
      <c r="D51" t="s">
        <v>153</v>
      </c>
    </row>
    <row r="52" spans="1:10" x14ac:dyDescent="0.35">
      <c r="B52" s="4" t="s">
        <v>151</v>
      </c>
      <c r="C52" s="6">
        <f>$C$19*(1/($C$10/($C$11*1.01)+1)*($C$8/$C$7+1)-(C$8/$C$7))</f>
        <v>4.1322314049585529E-2</v>
      </c>
      <c r="D52" t="s">
        <v>163</v>
      </c>
    </row>
    <row r="53" spans="1:10" x14ac:dyDescent="0.35">
      <c r="B53" s="4" t="s">
        <v>0</v>
      </c>
      <c r="C53" s="25">
        <f>(C52-C51)/0.01</f>
        <v>4.1322314049585529</v>
      </c>
      <c r="D53" s="2" t="s">
        <v>155</v>
      </c>
    </row>
    <row r="54" spans="1:10" x14ac:dyDescent="0.35">
      <c r="A54" s="8"/>
      <c r="D54" s="2"/>
    </row>
    <row r="55" spans="1:10" x14ac:dyDescent="0.35">
      <c r="A55" s="15" t="s">
        <v>41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x14ac:dyDescent="0.35">
      <c r="A56" t="s">
        <v>47</v>
      </c>
      <c r="B56" s="9"/>
      <c r="E56" s="9"/>
    </row>
    <row r="57" spans="1:10" x14ac:dyDescent="0.35">
      <c r="A57" s="12"/>
      <c r="B57" s="1"/>
      <c r="D57" s="1"/>
      <c r="E57" s="11"/>
    </row>
    <row r="58" spans="1:10" x14ac:dyDescent="0.35">
      <c r="A58" s="11" t="s">
        <v>127</v>
      </c>
      <c r="B58" s="4" t="s">
        <v>3</v>
      </c>
      <c r="C58" s="25">
        <f>1/($C$10/$C$11+1)*($C$8/$C$7+1)</f>
        <v>5</v>
      </c>
      <c r="D58" t="s">
        <v>116</v>
      </c>
      <c r="G58" s="13" t="s">
        <v>10</v>
      </c>
    </row>
    <row r="59" spans="1:10" x14ac:dyDescent="0.35">
      <c r="A59" s="8"/>
      <c r="B59" s="4" t="s">
        <v>4</v>
      </c>
      <c r="C59" s="25">
        <f>1/($C$10/$C$11+1)*($C$8/($C$7*1.01)+1)</f>
        <v>4.9587458745874589</v>
      </c>
      <c r="D59" t="s">
        <v>119</v>
      </c>
      <c r="G59" s="13" t="s">
        <v>61</v>
      </c>
    </row>
    <row r="60" spans="1:10" x14ac:dyDescent="0.35">
      <c r="A60" s="8"/>
      <c r="B60" s="4" t="s">
        <v>0</v>
      </c>
      <c r="C60" s="25">
        <f>((C59-C58)/C58)/0.01</f>
        <v>-0.82508250825082285</v>
      </c>
      <c r="D60" s="2" t="s">
        <v>38</v>
      </c>
      <c r="G60" t="s">
        <v>11</v>
      </c>
    </row>
    <row r="62" spans="1:10" x14ac:dyDescent="0.35">
      <c r="A62" s="11" t="s">
        <v>128</v>
      </c>
      <c r="B62" s="4" t="s">
        <v>3</v>
      </c>
      <c r="C62" s="25">
        <f>-$C$8/$C$7</f>
        <v>-5</v>
      </c>
      <c r="D62" s="19" t="s">
        <v>121</v>
      </c>
      <c r="G62" s="13"/>
    </row>
    <row r="63" spans="1:10" x14ac:dyDescent="0.35">
      <c r="A63" s="8"/>
      <c r="B63" s="4" t="s">
        <v>4</v>
      </c>
      <c r="C63" s="25">
        <f>-$C$8/($C$7*1.01)</f>
        <v>-4.9504950495049505</v>
      </c>
      <c r="D63" t="s">
        <v>119</v>
      </c>
      <c r="G63" s="13"/>
    </row>
    <row r="64" spans="1:10" x14ac:dyDescent="0.35">
      <c r="A64" s="8"/>
      <c r="B64" s="4" t="s">
        <v>0</v>
      </c>
      <c r="C64" s="25">
        <f>((C63-C62)/C62)/0.01</f>
        <v>-0.99009900990099098</v>
      </c>
      <c r="D64" s="2" t="s">
        <v>38</v>
      </c>
    </row>
    <row r="66" spans="1:7" x14ac:dyDescent="0.35">
      <c r="A66" s="11" t="s">
        <v>115</v>
      </c>
      <c r="B66" s="4" t="s">
        <v>3</v>
      </c>
      <c r="C66" s="25">
        <f>1/($C$10/$C$11+1)*($C$8/$C$7+1)</f>
        <v>5</v>
      </c>
      <c r="D66" t="s">
        <v>116</v>
      </c>
      <c r="G66" s="13"/>
    </row>
    <row r="67" spans="1:7" x14ac:dyDescent="0.35">
      <c r="A67" s="8"/>
      <c r="B67" s="4" t="s">
        <v>4</v>
      </c>
      <c r="C67" s="25">
        <f>1/($C$10/$C$11+1)*($C$8*1.01/$C$7+1)</f>
        <v>5.041666666666667</v>
      </c>
      <c r="D67" t="s">
        <v>118</v>
      </c>
      <c r="G67" s="13"/>
    </row>
    <row r="68" spans="1:7" x14ac:dyDescent="0.35">
      <c r="A68" s="8"/>
      <c r="B68" s="4" t="s">
        <v>0</v>
      </c>
      <c r="C68" s="25">
        <f>((C67-C66)/C66)/0.01</f>
        <v>0.83333333333333925</v>
      </c>
      <c r="D68" s="2" t="s">
        <v>38</v>
      </c>
    </row>
    <row r="70" spans="1:7" x14ac:dyDescent="0.35">
      <c r="A70" s="11" t="s">
        <v>120</v>
      </c>
      <c r="B70" s="4" t="s">
        <v>3</v>
      </c>
      <c r="C70" s="25">
        <f>-$C$8/$C$7</f>
        <v>-5</v>
      </c>
      <c r="D70" s="19" t="s">
        <v>121</v>
      </c>
    </row>
    <row r="71" spans="1:7" x14ac:dyDescent="0.35">
      <c r="A71" s="8"/>
      <c r="B71" s="4" t="s">
        <v>4</v>
      </c>
      <c r="C71" s="25">
        <f>-$C$8*1.01/$C$7</f>
        <v>-5.05</v>
      </c>
      <c r="D71" t="s">
        <v>118</v>
      </c>
    </row>
    <row r="72" spans="1:7" x14ac:dyDescent="0.35">
      <c r="A72" s="8"/>
      <c r="B72" s="4" t="s">
        <v>0</v>
      </c>
      <c r="C72" s="25">
        <f>((C71-C70)/C70)/0.01</f>
        <v>0.99999999999999634</v>
      </c>
      <c r="D72" s="2" t="s">
        <v>38</v>
      </c>
    </row>
    <row r="73" spans="1:7" x14ac:dyDescent="0.35">
      <c r="F73" t="s">
        <v>117</v>
      </c>
    </row>
    <row r="74" spans="1:7" x14ac:dyDescent="0.35">
      <c r="A74" t="s">
        <v>125</v>
      </c>
      <c r="B74" s="4" t="s">
        <v>3</v>
      </c>
      <c r="C74" s="6">
        <f>1/2*(1/($C$10/$C$11+1)*($C$8/$C$7+1)+(C$8/$C$7))</f>
        <v>5</v>
      </c>
      <c r="D74" t="s">
        <v>124</v>
      </c>
    </row>
    <row r="75" spans="1:7" x14ac:dyDescent="0.35">
      <c r="B75" s="4" t="s">
        <v>4</v>
      </c>
      <c r="C75" s="6">
        <f>1/2*(1/($C$10/$C$11+1)*($C$8/($C$7*1.01)+1)+(C$8/($C$7*1.01)))</f>
        <v>4.9546204620462042</v>
      </c>
      <c r="D75" t="s">
        <v>119</v>
      </c>
    </row>
    <row r="76" spans="1:7" x14ac:dyDescent="0.35">
      <c r="B76" s="4" t="s">
        <v>0</v>
      </c>
      <c r="C76" s="25">
        <f>((C75-C74)/C74)/0.01</f>
        <v>-0.9075907590759158</v>
      </c>
      <c r="D76" s="2" t="s">
        <v>38</v>
      </c>
    </row>
    <row r="78" spans="1:7" x14ac:dyDescent="0.35">
      <c r="A78" t="s">
        <v>126</v>
      </c>
      <c r="B78" s="4" t="s">
        <v>3</v>
      </c>
      <c r="C78" s="6">
        <f>1/2*(1/($C$10/$C$11+1)*($C$8/$C$7+1)+(C$8/$C$7))</f>
        <v>5</v>
      </c>
      <c r="D78" t="s">
        <v>150</v>
      </c>
    </row>
    <row r="79" spans="1:7" x14ac:dyDescent="0.35">
      <c r="B79" s="4" t="s">
        <v>4</v>
      </c>
      <c r="C79" s="6">
        <f>1/2*(1/($C$10/$C$11+1)*($C$8*1.01/$C$7+1)+(C$8*1.01/$C$7))</f>
        <v>5.0458333333333334</v>
      </c>
      <c r="D79" t="s">
        <v>118</v>
      </c>
    </row>
    <row r="80" spans="1:7" x14ac:dyDescent="0.35">
      <c r="B80" s="4" t="s">
        <v>0</v>
      </c>
      <c r="C80" s="25">
        <f>((C79-C78)/C78)/0.01</f>
        <v>0.91666666666666785</v>
      </c>
      <c r="D80" s="2" t="s">
        <v>38</v>
      </c>
    </row>
    <row r="82" spans="1:4" x14ac:dyDescent="0.35">
      <c r="A82" t="s">
        <v>129</v>
      </c>
      <c r="B82" s="4" t="s">
        <v>3</v>
      </c>
      <c r="C82" s="6">
        <f>1/2*(1/($C$10/$C$11+1)*($C$8/$C$7+1)+(C$8/$C$7))</f>
        <v>5</v>
      </c>
      <c r="D82" t="s">
        <v>150</v>
      </c>
    </row>
    <row r="83" spans="1:4" x14ac:dyDescent="0.35">
      <c r="B83" s="4" t="s">
        <v>4</v>
      </c>
      <c r="C83" s="6">
        <f>1/2*(1/($C$10*1.01/$C$11+1)*($C$8/$C$7+1)+(C$8/$C$7))</f>
        <v>4.9958402662229613</v>
      </c>
      <c r="D83" t="s">
        <v>130</v>
      </c>
    </row>
    <row r="84" spans="1:4" x14ac:dyDescent="0.35">
      <c r="B84" s="4" t="s">
        <v>0</v>
      </c>
      <c r="C84" s="25">
        <f>((C83-C82)/C82)/0.01</f>
        <v>-8.3194675540774199E-2</v>
      </c>
      <c r="D84" s="2" t="s">
        <v>38</v>
      </c>
    </row>
    <row r="86" spans="1:4" x14ac:dyDescent="0.35">
      <c r="A86" t="s">
        <v>131</v>
      </c>
      <c r="B86" s="4" t="s">
        <v>3</v>
      </c>
      <c r="C86" s="6">
        <f>1/2*(1/($C$10/$C$11+1)*($C$8/$C$7+1)+(C$8/$C$7))</f>
        <v>5</v>
      </c>
      <c r="D86" t="s">
        <v>122</v>
      </c>
    </row>
    <row r="87" spans="1:4" x14ac:dyDescent="0.35">
      <c r="B87" s="4" t="s">
        <v>4</v>
      </c>
      <c r="C87" s="6">
        <f>1/2*(1/($C$10/($C$11*1.01)+1)*($C$8/$C$7+1)+(C$8/$C$7))</f>
        <v>5.0041322314049586</v>
      </c>
      <c r="D87" t="s">
        <v>132</v>
      </c>
    </row>
    <row r="88" spans="1:4" x14ac:dyDescent="0.35">
      <c r="B88" s="4" t="s">
        <v>0</v>
      </c>
      <c r="C88" s="25">
        <f>((C87-C86)/C86)/0.01</f>
        <v>8.2644628099171058E-2</v>
      </c>
      <c r="D88" s="2" t="s">
        <v>38</v>
      </c>
    </row>
    <row r="91" spans="1:4" x14ac:dyDescent="0.35">
      <c r="A91" t="s">
        <v>31</v>
      </c>
      <c r="B91" s="9"/>
      <c r="D91" s="2"/>
    </row>
    <row r="92" spans="1:4" x14ac:dyDescent="0.35">
      <c r="A92" t="s">
        <v>30</v>
      </c>
      <c r="B92" s="9"/>
      <c r="D92" s="2"/>
    </row>
    <row r="93" spans="1:4" x14ac:dyDescent="0.35">
      <c r="A93" t="s">
        <v>55</v>
      </c>
      <c r="B93" s="9"/>
      <c r="D93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7"/>
  <sheetViews>
    <sheetView zoomScale="70" zoomScaleNormal="70" workbookViewId="0">
      <selection activeCell="C14" sqref="C14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2.453125" customWidth="1"/>
    <col min="7" max="7" width="15.816406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3" t="s">
        <v>171</v>
      </c>
      <c r="F1" s="1"/>
      <c r="G1" s="1"/>
      <c r="H1" s="1"/>
    </row>
    <row r="2" spans="1:13" ht="18.5" x14ac:dyDescent="0.45">
      <c r="A2" s="44"/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90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86</v>
      </c>
      <c r="C11" t="s">
        <v>56</v>
      </c>
      <c r="D11" s="10"/>
      <c r="E11" s="10"/>
      <c r="F11" s="1" t="s">
        <v>85</v>
      </c>
    </row>
    <row r="12" spans="1:13" x14ac:dyDescent="0.35">
      <c r="A12" s="32" t="s">
        <v>21</v>
      </c>
      <c r="B12" s="40" t="s">
        <v>57</v>
      </c>
      <c r="C12" s="4" t="s">
        <v>23</v>
      </c>
      <c r="D12" s="4" t="s">
        <v>32</v>
      </c>
      <c r="E12" s="41" t="s">
        <v>24</v>
      </c>
      <c r="F12" s="4" t="s">
        <v>27</v>
      </c>
      <c r="G12" s="41" t="s">
        <v>29</v>
      </c>
    </row>
    <row r="13" spans="1:13" x14ac:dyDescent="0.35">
      <c r="A13" s="2" t="s">
        <v>87</v>
      </c>
      <c r="B13" s="9">
        <v>2.5000000000000001E-3</v>
      </c>
      <c r="C13" s="14">
        <f>N33</f>
        <v>1.8068631517257235E-3</v>
      </c>
      <c r="D13" s="14">
        <f>N46</f>
        <v>3.2675180760936306E-3</v>
      </c>
      <c r="E13" s="20">
        <f>C13+D13</f>
        <v>5.0743812278193539E-3</v>
      </c>
      <c r="F13" s="16">
        <f>(B13-E13)/B13*100</f>
        <v>-102.97524911277416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14</v>
      </c>
      <c r="B21" s="32"/>
      <c r="C21" s="35"/>
      <c r="D21" s="36" t="s">
        <v>43</v>
      </c>
      <c r="E21" s="36" t="s">
        <v>44</v>
      </c>
      <c r="F21" s="36"/>
      <c r="G21" s="36" t="s">
        <v>73</v>
      </c>
      <c r="H21" s="36" t="s">
        <v>42</v>
      </c>
      <c r="I21" s="39" t="s">
        <v>78</v>
      </c>
      <c r="J21" s="36" t="s">
        <v>75</v>
      </c>
      <c r="K21" s="39" t="s">
        <v>48</v>
      </c>
      <c r="M21" s="31" t="s">
        <v>93</v>
      </c>
      <c r="N21" s="31" t="s">
        <v>92</v>
      </c>
    </row>
    <row r="22" spans="1:14" ht="29" x14ac:dyDescent="0.35">
      <c r="A22" s="22" t="s">
        <v>37</v>
      </c>
      <c r="B22" s="22" t="s">
        <v>50</v>
      </c>
      <c r="C22" s="22" t="s">
        <v>63</v>
      </c>
      <c r="D22" s="30" t="s">
        <v>20</v>
      </c>
      <c r="E22" s="30" t="s">
        <v>20</v>
      </c>
      <c r="F22" s="22" t="s">
        <v>13</v>
      </c>
      <c r="G22" s="30" t="s">
        <v>74</v>
      </c>
      <c r="H22" s="23" t="s">
        <v>0</v>
      </c>
      <c r="I22" s="46" t="s">
        <v>80</v>
      </c>
      <c r="J22" s="24" t="s">
        <v>76</v>
      </c>
      <c r="K22" s="46" t="s">
        <v>77</v>
      </c>
      <c r="M22" s="24" t="s">
        <v>51</v>
      </c>
      <c r="N22" s="24" t="s">
        <v>52</v>
      </c>
    </row>
    <row r="23" spans="1:14" x14ac:dyDescent="0.35">
      <c r="A23" s="1" t="s">
        <v>34</v>
      </c>
      <c r="B23" s="1" t="s">
        <v>54</v>
      </c>
      <c r="C23" s="1" t="s">
        <v>91</v>
      </c>
      <c r="D23" s="1" t="s">
        <v>67</v>
      </c>
      <c r="E23" s="1">
        <v>1E-4</v>
      </c>
      <c r="F23" s="21" t="s">
        <v>5</v>
      </c>
      <c r="G23" s="14" t="s">
        <v>72</v>
      </c>
      <c r="H23" s="25">
        <f>Diff_Amp_Calc!$C$33</f>
        <v>6</v>
      </c>
      <c r="I23" s="28">
        <f>E23*H23</f>
        <v>6.0000000000000006E-4</v>
      </c>
      <c r="J23" s="10">
        <f>Diff_Amp_Calc!$C$13</f>
        <v>5</v>
      </c>
      <c r="K23" s="28">
        <f t="shared" ref="K23:K28" si="0">I23*1/J23</f>
        <v>1.2000000000000002E-4</v>
      </c>
      <c r="L23" s="2" t="s">
        <v>5</v>
      </c>
      <c r="M23" s="28">
        <f t="shared" ref="M23:M28" si="1">ABS(K23)</f>
        <v>1.2000000000000002E-4</v>
      </c>
      <c r="N23" s="17">
        <f t="shared" ref="N23:N28" si="2">K23^2</f>
        <v>1.4400000000000003E-8</v>
      </c>
    </row>
    <row r="24" spans="1:14" x14ac:dyDescent="0.35">
      <c r="A24" s="1" t="s">
        <v>36</v>
      </c>
      <c r="B24" s="1" t="s">
        <v>109</v>
      </c>
      <c r="C24" s="1" t="s">
        <v>91</v>
      </c>
      <c r="D24" s="1" t="s">
        <v>133</v>
      </c>
      <c r="E24" s="17">
        <v>5.0000000000000001E-9</v>
      </c>
      <c r="F24" s="1" t="s">
        <v>12</v>
      </c>
      <c r="G24" s="14" t="s">
        <v>72</v>
      </c>
      <c r="H24" s="16">
        <f>Diff_Amp_Calc!$C$35</f>
        <v>0</v>
      </c>
      <c r="I24" s="28">
        <f>E24*H24</f>
        <v>0</v>
      </c>
      <c r="J24" s="10">
        <f>Diff_Amp_Calc!$C$13</f>
        <v>5</v>
      </c>
      <c r="K24" s="28">
        <f t="shared" si="0"/>
        <v>0</v>
      </c>
      <c r="L24" s="2" t="s">
        <v>5</v>
      </c>
      <c r="M24" s="28">
        <f t="shared" si="1"/>
        <v>0</v>
      </c>
      <c r="N24" s="17">
        <f t="shared" si="2"/>
        <v>0</v>
      </c>
    </row>
    <row r="25" spans="1:14" x14ac:dyDescent="0.35">
      <c r="A25" s="1" t="s">
        <v>36</v>
      </c>
      <c r="B25" s="1" t="s">
        <v>113</v>
      </c>
      <c r="C25" s="1" t="s">
        <v>91</v>
      </c>
      <c r="D25" s="1" t="s">
        <v>134</v>
      </c>
      <c r="E25" s="17">
        <v>5.0000000000000001E-9</v>
      </c>
      <c r="F25" s="1" t="s">
        <v>12</v>
      </c>
      <c r="G25" s="14" t="s">
        <v>72</v>
      </c>
      <c r="H25" s="16">
        <f>Diff_Amp_Calc!$C$37</f>
        <v>500000</v>
      </c>
      <c r="I25" s="28">
        <f>E25*H25</f>
        <v>2.5000000000000001E-3</v>
      </c>
      <c r="J25" s="10">
        <f>Diff_Amp_Calc!$C$13</f>
        <v>5</v>
      </c>
      <c r="K25" s="28">
        <f t="shared" si="0"/>
        <v>5.0000000000000001E-4</v>
      </c>
      <c r="L25" s="2" t="s">
        <v>5</v>
      </c>
      <c r="M25" s="28">
        <f t="shared" si="1"/>
        <v>5.0000000000000001E-4</v>
      </c>
      <c r="N25" s="17">
        <f t="shared" si="2"/>
        <v>2.4999999999999999E-7</v>
      </c>
    </row>
    <row r="26" spans="1:14" x14ac:dyDescent="0.35">
      <c r="A26" s="1" t="s">
        <v>36</v>
      </c>
      <c r="B26" s="1" t="s">
        <v>149</v>
      </c>
      <c r="C26" s="1" t="s">
        <v>91</v>
      </c>
      <c r="D26" s="1" t="s">
        <v>147</v>
      </c>
      <c r="E26" s="17">
        <f>Diff_Amp_Calc!$C$23/10^(80/20)</f>
        <v>4.1666666666666669E-4</v>
      </c>
      <c r="F26" s="1" t="s">
        <v>5</v>
      </c>
      <c r="G26" s="14" t="s">
        <v>72</v>
      </c>
      <c r="H26" s="25">
        <f>Diff_Amp_Calc!$C$33</f>
        <v>6</v>
      </c>
      <c r="I26" s="28">
        <f>E26*H26</f>
        <v>2.5000000000000001E-3</v>
      </c>
      <c r="J26" s="10">
        <f>Diff_Amp_Calc!$C$13</f>
        <v>5</v>
      </c>
      <c r="K26" s="28">
        <f t="shared" si="0"/>
        <v>5.0000000000000001E-4</v>
      </c>
      <c r="L26" s="2" t="s">
        <v>5</v>
      </c>
      <c r="M26" s="28">
        <f t="shared" si="1"/>
        <v>5.0000000000000001E-4</v>
      </c>
      <c r="N26" s="17">
        <f t="shared" si="2"/>
        <v>2.4999999999999999E-7</v>
      </c>
    </row>
    <row r="27" spans="1:14" x14ac:dyDescent="0.35">
      <c r="A27" s="1" t="s">
        <v>36</v>
      </c>
      <c r="B27" s="1" t="s">
        <v>154</v>
      </c>
      <c r="C27" s="1" t="s">
        <v>64</v>
      </c>
      <c r="D27" s="1" t="s">
        <v>65</v>
      </c>
      <c r="E27" s="1">
        <v>0.1</v>
      </c>
      <c r="F27" s="21" t="s">
        <v>8</v>
      </c>
      <c r="G27" s="14" t="s">
        <v>72</v>
      </c>
      <c r="H27" s="25">
        <f>Diff_Amp_Calc!$C$41</f>
        <v>4.1254125412542031</v>
      </c>
      <c r="I27" s="28">
        <f>E27/100*H27</f>
        <v>4.1254125412542031E-3</v>
      </c>
      <c r="J27" s="10">
        <f>Diff_Amp_Calc!$C$13</f>
        <v>5</v>
      </c>
      <c r="K27" s="28">
        <f t="shared" si="0"/>
        <v>8.250825082508406E-4</v>
      </c>
      <c r="L27" s="2" t="s">
        <v>5</v>
      </c>
      <c r="M27" s="28">
        <f t="shared" si="1"/>
        <v>8.250825082508406E-4</v>
      </c>
      <c r="N27" s="17">
        <f t="shared" si="2"/>
        <v>6.807611454214984E-7</v>
      </c>
    </row>
    <row r="28" spans="1:14" x14ac:dyDescent="0.35">
      <c r="A28" s="1" t="s">
        <v>36</v>
      </c>
      <c r="B28" s="1" t="s">
        <v>157</v>
      </c>
      <c r="C28" s="1" t="s">
        <v>64</v>
      </c>
      <c r="D28" s="1" t="s">
        <v>65</v>
      </c>
      <c r="E28" s="1">
        <v>0.1</v>
      </c>
      <c r="F28" s="21" t="s">
        <v>8</v>
      </c>
      <c r="G28" s="14" t="s">
        <v>72</v>
      </c>
      <c r="H28" s="25">
        <f>Diff_Amp_Calc!$C$45</f>
        <v>-4.1666666666664298</v>
      </c>
      <c r="I28" s="28">
        <f>E28/100*H28</f>
        <v>-4.1666666666664298E-3</v>
      </c>
      <c r="J28" s="10">
        <f>Diff_Amp_Calc!$C$13</f>
        <v>5</v>
      </c>
      <c r="K28" s="28">
        <f t="shared" si="0"/>
        <v>-8.3333333333328601E-4</v>
      </c>
      <c r="L28" s="2" t="s">
        <v>5</v>
      </c>
      <c r="M28" s="28">
        <f t="shared" si="1"/>
        <v>8.3333333333328601E-4</v>
      </c>
      <c r="N28" s="17">
        <f t="shared" si="2"/>
        <v>6.944444444443656E-7</v>
      </c>
    </row>
    <row r="29" spans="1:14" x14ac:dyDescent="0.35">
      <c r="A29" s="1" t="s">
        <v>36</v>
      </c>
      <c r="B29" s="1" t="s">
        <v>164</v>
      </c>
      <c r="C29" s="1" t="s">
        <v>64</v>
      </c>
      <c r="D29" s="1" t="s">
        <v>65</v>
      </c>
      <c r="E29" s="1">
        <v>0.1</v>
      </c>
      <c r="F29" s="21" t="s">
        <v>8</v>
      </c>
      <c r="G29" s="14" t="s">
        <v>72</v>
      </c>
      <c r="H29" s="25">
        <f>Diff_Amp_Calc!$C$49</f>
        <v>-4.1597337770382659</v>
      </c>
      <c r="I29" s="28">
        <f>E29/100*H29</f>
        <v>-4.1597337770382659E-3</v>
      </c>
      <c r="J29" s="10">
        <f>Diff_Amp_Calc!$C$13</f>
        <v>5</v>
      </c>
      <c r="K29" s="28">
        <f t="shared" ref="K29:K30" si="3">I29*1/J29</f>
        <v>-8.3194675540765317E-4</v>
      </c>
      <c r="L29" s="2" t="s">
        <v>5</v>
      </c>
      <c r="M29" s="28">
        <f t="shared" ref="M29:M30" si="4">ABS(K29)</f>
        <v>8.3194675540765317E-4</v>
      </c>
      <c r="N29" s="17">
        <f t="shared" ref="N29:N30" si="5">K29^2</f>
        <v>6.921354038333215E-7</v>
      </c>
    </row>
    <row r="30" spans="1:14" x14ac:dyDescent="0.35">
      <c r="A30" s="1" t="s">
        <v>36</v>
      </c>
      <c r="B30" s="1" t="s">
        <v>165</v>
      </c>
      <c r="C30" s="1" t="s">
        <v>64</v>
      </c>
      <c r="D30" s="1" t="s">
        <v>65</v>
      </c>
      <c r="E30" s="1">
        <v>0.1</v>
      </c>
      <c r="F30" s="21" t="s">
        <v>8</v>
      </c>
      <c r="G30" s="14" t="s">
        <v>72</v>
      </c>
      <c r="H30" s="25">
        <f>Diff_Amp_Calc!$C$53</f>
        <v>4.1322314049585529</v>
      </c>
      <c r="I30" s="28">
        <f>E30/100*H30</f>
        <v>4.1322314049585529E-3</v>
      </c>
      <c r="J30" s="10">
        <f>Diff_Amp_Calc!$C$13</f>
        <v>5</v>
      </c>
      <c r="K30" s="28">
        <f t="shared" si="3"/>
        <v>8.2644628099171058E-4</v>
      </c>
      <c r="L30" s="2" t="s">
        <v>5</v>
      </c>
      <c r="M30" s="28">
        <f t="shared" si="4"/>
        <v>8.2644628099171058E-4</v>
      </c>
      <c r="N30" s="17">
        <f t="shared" si="5"/>
        <v>6.8301345536502944E-7</v>
      </c>
    </row>
    <row r="31" spans="1:14" x14ac:dyDescent="0.35">
      <c r="B31" s="1" t="s">
        <v>25</v>
      </c>
      <c r="E31" s="17"/>
      <c r="F31" s="1"/>
      <c r="G31" s="14"/>
      <c r="H31" s="16"/>
      <c r="I31" s="18"/>
      <c r="J31" s="10"/>
      <c r="K31" s="28"/>
    </row>
    <row r="32" spans="1:14" x14ac:dyDescent="0.35">
      <c r="G32" s="1"/>
      <c r="I32" s="1"/>
      <c r="J32" s="10"/>
      <c r="K32" s="20"/>
      <c r="L32" s="2"/>
      <c r="M32" s="39" t="s">
        <v>59</v>
      </c>
      <c r="N32" s="33" t="s">
        <v>60</v>
      </c>
    </row>
    <row r="33" spans="1:14" x14ac:dyDescent="0.35">
      <c r="G33" s="1"/>
      <c r="I33" s="1"/>
      <c r="J33" s="1"/>
      <c r="K33" s="20"/>
      <c r="L33" s="48"/>
      <c r="M33" s="28">
        <f>SUM(M23:M31)</f>
        <v>4.4368088779834901E-3</v>
      </c>
      <c r="N33" s="28">
        <f>SQRT(SUM(N23:N31))</f>
        <v>1.8068631517257235E-3</v>
      </c>
    </row>
    <row r="34" spans="1:14" x14ac:dyDescent="0.35">
      <c r="G34" s="1"/>
      <c r="I34" s="1"/>
      <c r="J34" s="1"/>
      <c r="K34" s="20"/>
      <c r="L34" s="26"/>
    </row>
    <row r="35" spans="1:14" ht="29" x14ac:dyDescent="0.35">
      <c r="A35" s="7" t="s">
        <v>53</v>
      </c>
      <c r="B35" s="7"/>
      <c r="C35" s="7"/>
      <c r="D35" s="36" t="s">
        <v>43</v>
      </c>
      <c r="E35" s="36" t="s">
        <v>44</v>
      </c>
      <c r="G35" s="36" t="s">
        <v>73</v>
      </c>
      <c r="H35" s="36" t="s">
        <v>42</v>
      </c>
      <c r="I35" s="36" t="s">
        <v>78</v>
      </c>
      <c r="J35" s="36" t="s">
        <v>75</v>
      </c>
      <c r="K35" s="39" t="s">
        <v>48</v>
      </c>
      <c r="L35" s="26"/>
      <c r="M35" s="1"/>
      <c r="N35" s="31"/>
    </row>
    <row r="36" spans="1:14" ht="29" x14ac:dyDescent="0.35">
      <c r="A36" s="22" t="s">
        <v>35</v>
      </c>
      <c r="B36" s="22" t="s">
        <v>50</v>
      </c>
      <c r="C36" s="22" t="s">
        <v>63</v>
      </c>
      <c r="D36" s="30" t="s">
        <v>20</v>
      </c>
      <c r="E36" s="30" t="s">
        <v>20</v>
      </c>
      <c r="F36" s="22" t="s">
        <v>13</v>
      </c>
      <c r="G36" s="30" t="s">
        <v>74</v>
      </c>
      <c r="H36" s="23" t="s">
        <v>0</v>
      </c>
      <c r="I36" s="46" t="s">
        <v>79</v>
      </c>
      <c r="J36" s="24" t="s">
        <v>76</v>
      </c>
      <c r="K36" s="46" t="s">
        <v>77</v>
      </c>
      <c r="L36" s="34"/>
      <c r="M36" s="24" t="s">
        <v>51</v>
      </c>
      <c r="N36" s="24" t="s">
        <v>52</v>
      </c>
    </row>
    <row r="37" spans="1:14" x14ac:dyDescent="0.35">
      <c r="A37" s="1" t="s">
        <v>34</v>
      </c>
      <c r="B37" s="1" t="s">
        <v>68</v>
      </c>
      <c r="C37" s="1" t="s">
        <v>91</v>
      </c>
      <c r="D37" s="1" t="s">
        <v>69</v>
      </c>
      <c r="E37" s="27">
        <v>1.0000000000000001E-5</v>
      </c>
      <c r="F37" s="21" t="s">
        <v>16</v>
      </c>
      <c r="G37" s="14" t="s">
        <v>72</v>
      </c>
      <c r="H37" s="25">
        <f>Diff_Amp_Calc!$C$33</f>
        <v>6</v>
      </c>
      <c r="I37" s="28">
        <f>E37*$C$9*H37</f>
        <v>1.8000000000000002E-3</v>
      </c>
      <c r="J37" s="10">
        <f>Diff_Amp_Calc!$C$13</f>
        <v>5</v>
      </c>
      <c r="K37" s="28">
        <f t="shared" ref="K37:K43" si="6">I37*1/J37</f>
        <v>3.6000000000000002E-4</v>
      </c>
      <c r="L37" s="2" t="s">
        <v>5</v>
      </c>
      <c r="M37" s="28">
        <f t="shared" ref="M37:M43" si="7">ABS(K37)</f>
        <v>3.6000000000000002E-4</v>
      </c>
      <c r="N37" s="17">
        <f t="shared" ref="N37:N43" si="8">K37^2</f>
        <v>1.2960000000000002E-7</v>
      </c>
    </row>
    <row r="38" spans="1:14" x14ac:dyDescent="0.35">
      <c r="A38" s="1" t="s">
        <v>36</v>
      </c>
      <c r="B38" s="1" t="s">
        <v>137</v>
      </c>
      <c r="C38" s="1" t="s">
        <v>91</v>
      </c>
      <c r="D38" s="1" t="s">
        <v>135</v>
      </c>
      <c r="E38" s="17">
        <v>1.0000000000000001E-9</v>
      </c>
      <c r="F38" s="1" t="s">
        <v>17</v>
      </c>
      <c r="G38" s="14" t="s">
        <v>72</v>
      </c>
      <c r="H38" s="16">
        <f>Diff_Amp_Calc!$C$35</f>
        <v>0</v>
      </c>
      <c r="I38" s="28">
        <f>E38*$C$9*H38</f>
        <v>0</v>
      </c>
      <c r="J38" s="10">
        <f>Diff_Amp_Calc!$C$13</f>
        <v>5</v>
      </c>
      <c r="K38" s="28">
        <f t="shared" si="6"/>
        <v>0</v>
      </c>
      <c r="L38" s="2" t="s">
        <v>5</v>
      </c>
      <c r="M38" s="28">
        <f t="shared" si="7"/>
        <v>0</v>
      </c>
      <c r="N38" s="17">
        <f t="shared" si="8"/>
        <v>0</v>
      </c>
    </row>
    <row r="39" spans="1:14" x14ac:dyDescent="0.35">
      <c r="A39" s="1" t="s">
        <v>36</v>
      </c>
      <c r="B39" s="1" t="s">
        <v>138</v>
      </c>
      <c r="C39" s="1" t="s">
        <v>91</v>
      </c>
      <c r="D39" s="1" t="s">
        <v>136</v>
      </c>
      <c r="E39" s="17">
        <v>1.0000000000000001E-9</v>
      </c>
      <c r="F39" s="1" t="s">
        <v>17</v>
      </c>
      <c r="G39" s="14" t="s">
        <v>72</v>
      </c>
      <c r="H39" s="16">
        <f>Diff_Amp_Calc!$C$37</f>
        <v>500000</v>
      </c>
      <c r="I39" s="28">
        <f>E39*$C$9*H39</f>
        <v>1.5000000000000001E-2</v>
      </c>
      <c r="J39" s="10">
        <f>Diff_Amp_Calc!$C$13</f>
        <v>5</v>
      </c>
      <c r="K39" s="28">
        <f t="shared" si="6"/>
        <v>3.0000000000000001E-3</v>
      </c>
      <c r="L39" s="2" t="s">
        <v>5</v>
      </c>
      <c r="M39" s="28">
        <f t="shared" si="7"/>
        <v>3.0000000000000001E-3</v>
      </c>
      <c r="N39" s="17">
        <f t="shared" si="8"/>
        <v>9.0000000000000002E-6</v>
      </c>
    </row>
    <row r="40" spans="1:14" x14ac:dyDescent="0.35">
      <c r="A40" s="1" t="s">
        <v>36</v>
      </c>
      <c r="B40" s="1" t="s">
        <v>166</v>
      </c>
      <c r="C40" s="1" t="s">
        <v>64</v>
      </c>
      <c r="D40" s="1" t="s">
        <v>66</v>
      </c>
      <c r="E40" s="1">
        <v>25</v>
      </c>
      <c r="F40" s="21" t="s">
        <v>15</v>
      </c>
      <c r="G40" s="14" t="s">
        <v>72</v>
      </c>
      <c r="H40" s="25">
        <f>Diff_Amp_Calc!$C$41</f>
        <v>4.1254125412542031</v>
      </c>
      <c r="I40" s="28">
        <f>E40/1000000*$C$9*H40</f>
        <v>3.0940594059406523E-3</v>
      </c>
      <c r="J40" s="10">
        <f>Diff_Amp_Calc!$C$13</f>
        <v>5</v>
      </c>
      <c r="K40" s="28">
        <f t="shared" si="6"/>
        <v>6.1881188118813042E-4</v>
      </c>
      <c r="L40" s="2" t="s">
        <v>5</v>
      </c>
      <c r="M40" s="28">
        <f t="shared" si="7"/>
        <v>6.1881188118813042E-4</v>
      </c>
      <c r="N40" s="17">
        <f t="shared" si="8"/>
        <v>3.8292814429959285E-7</v>
      </c>
    </row>
    <row r="41" spans="1:14" x14ac:dyDescent="0.35">
      <c r="A41" s="1" t="s">
        <v>36</v>
      </c>
      <c r="B41" s="1" t="s">
        <v>167</v>
      </c>
      <c r="C41" s="1" t="s">
        <v>64</v>
      </c>
      <c r="D41" s="1" t="s">
        <v>66</v>
      </c>
      <c r="E41" s="1">
        <v>25</v>
      </c>
      <c r="F41" s="21" t="s">
        <v>15</v>
      </c>
      <c r="G41" s="14" t="s">
        <v>72</v>
      </c>
      <c r="H41" s="25">
        <f>Diff_Amp_Calc!$C$45</f>
        <v>-4.1666666666664298</v>
      </c>
      <c r="I41" s="28">
        <f>E41/1000000*$C$9*H41</f>
        <v>-3.1249999999998224E-3</v>
      </c>
      <c r="J41" s="10">
        <f>Diff_Amp_Calc!$C$13</f>
        <v>5</v>
      </c>
      <c r="K41" s="28">
        <f t="shared" si="6"/>
        <v>-6.2499999999996445E-4</v>
      </c>
      <c r="L41" s="2" t="s">
        <v>5</v>
      </c>
      <c r="M41" s="28">
        <f t="shared" si="7"/>
        <v>6.2499999999996445E-4</v>
      </c>
      <c r="N41" s="17">
        <f t="shared" si="8"/>
        <v>3.9062499999995555E-7</v>
      </c>
    </row>
    <row r="42" spans="1:14" x14ac:dyDescent="0.35">
      <c r="A42" s="1" t="s">
        <v>36</v>
      </c>
      <c r="B42" s="1" t="s">
        <v>168</v>
      </c>
      <c r="C42" s="1" t="s">
        <v>64</v>
      </c>
      <c r="D42" s="1" t="s">
        <v>66</v>
      </c>
      <c r="E42" s="1">
        <v>25</v>
      </c>
      <c r="F42" s="21" t="s">
        <v>15</v>
      </c>
      <c r="G42" s="14" t="s">
        <v>72</v>
      </c>
      <c r="H42" s="25">
        <f>Diff_Amp_Calc!$C$49</f>
        <v>-4.1597337770382659</v>
      </c>
      <c r="I42" s="28">
        <f>E42/1000000*$C$9*H42</f>
        <v>-3.1198003327786994E-3</v>
      </c>
      <c r="J42" s="10">
        <f>Diff_Amp_Calc!$C$13</f>
        <v>5</v>
      </c>
      <c r="K42" s="28">
        <f t="shared" si="6"/>
        <v>-6.2396006655573988E-4</v>
      </c>
      <c r="L42" s="2" t="s">
        <v>5</v>
      </c>
      <c r="M42" s="28">
        <f t="shared" si="7"/>
        <v>6.2396006655573988E-4</v>
      </c>
      <c r="N42" s="17">
        <f t="shared" si="8"/>
        <v>3.8932616465624334E-7</v>
      </c>
    </row>
    <row r="43" spans="1:14" x14ac:dyDescent="0.35">
      <c r="A43" s="1" t="s">
        <v>36</v>
      </c>
      <c r="B43" s="1" t="s">
        <v>169</v>
      </c>
      <c r="C43" s="1" t="s">
        <v>64</v>
      </c>
      <c r="D43" s="1" t="s">
        <v>66</v>
      </c>
      <c r="E43" s="1">
        <v>25</v>
      </c>
      <c r="F43" s="21" t="s">
        <v>15</v>
      </c>
      <c r="G43" s="14" t="s">
        <v>72</v>
      </c>
      <c r="H43" s="25">
        <f>Diff_Amp_Calc!$C$53</f>
        <v>4.1322314049585529</v>
      </c>
      <c r="I43" s="28">
        <f>E43/1000000*$C$9*H43</f>
        <v>3.0991735537189147E-3</v>
      </c>
      <c r="J43" s="10">
        <f>Diff_Amp_Calc!$C$13</f>
        <v>5</v>
      </c>
      <c r="K43" s="28">
        <f t="shared" si="6"/>
        <v>6.1983471074378294E-4</v>
      </c>
      <c r="L43" s="2" t="s">
        <v>5</v>
      </c>
      <c r="M43" s="28">
        <f t="shared" si="7"/>
        <v>6.1983471074378294E-4</v>
      </c>
      <c r="N43" s="17">
        <f t="shared" si="8"/>
        <v>3.8419506864282904E-7</v>
      </c>
    </row>
    <row r="44" spans="1:14" x14ac:dyDescent="0.35">
      <c r="B44" s="1" t="s">
        <v>25</v>
      </c>
    </row>
    <row r="45" spans="1:14" x14ac:dyDescent="0.35">
      <c r="G45" s="1"/>
      <c r="H45" s="1"/>
      <c r="I45" s="1"/>
      <c r="J45" s="29"/>
      <c r="K45" s="2"/>
      <c r="M45" s="39" t="s">
        <v>59</v>
      </c>
      <c r="N45" s="33" t="s">
        <v>60</v>
      </c>
    </row>
    <row r="46" spans="1:14" x14ac:dyDescent="0.35">
      <c r="G46" s="1"/>
      <c r="H46" s="1"/>
      <c r="I46" s="1"/>
      <c r="J46" s="29"/>
      <c r="K46" s="2"/>
      <c r="M46" s="28">
        <f>SUM(M37:M44)</f>
        <v>5.8476066584876177E-3</v>
      </c>
      <c r="N46" s="28">
        <f>SQRT(SUM(N37:N44))</f>
        <v>3.2675180760936306E-3</v>
      </c>
    </row>
    <row r="47" spans="1:14" x14ac:dyDescent="0.35">
      <c r="G47" s="1"/>
      <c r="H47" s="1"/>
      <c r="I47" s="1"/>
      <c r="J47" s="29"/>
      <c r="K47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40"/>
  <sheetViews>
    <sheetView zoomScale="70" zoomScaleNormal="70" workbookViewId="0">
      <selection activeCell="J22" sqref="J22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172</v>
      </c>
      <c r="F1" s="1"/>
      <c r="G1" s="1"/>
      <c r="H1" s="1"/>
    </row>
    <row r="2" spans="1:13" x14ac:dyDescent="0.35"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90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86</v>
      </c>
      <c r="C11" t="s">
        <v>28</v>
      </c>
      <c r="D11" s="10"/>
      <c r="E11" s="10"/>
      <c r="F11" s="1" t="s">
        <v>85</v>
      </c>
    </row>
    <row r="12" spans="1:13" x14ac:dyDescent="0.35">
      <c r="A12" s="7" t="s">
        <v>22</v>
      </c>
      <c r="B12" s="3" t="s">
        <v>58</v>
      </c>
      <c r="C12" s="4" t="s">
        <v>23</v>
      </c>
      <c r="D12" s="4" t="s">
        <v>32</v>
      </c>
      <c r="E12" s="41" t="s">
        <v>24</v>
      </c>
      <c r="F12" s="4" t="s">
        <v>27</v>
      </c>
      <c r="G12" s="45" t="s">
        <v>29</v>
      </c>
    </row>
    <row r="13" spans="1:13" x14ac:dyDescent="0.35">
      <c r="B13" s="25">
        <v>0.25</v>
      </c>
      <c r="C13" s="25">
        <f>N29</f>
        <v>0.1295279989936447</v>
      </c>
      <c r="D13" s="25">
        <f>N40</f>
        <v>9.7145999245233511E-2</v>
      </c>
      <c r="E13" s="25">
        <f>C13+D13</f>
        <v>0.22667399823887821</v>
      </c>
      <c r="F13" s="16">
        <f>(B13-E13)/B13*100</f>
        <v>9.3304007044487154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84</v>
      </c>
    </row>
    <row r="21" spans="1:15" ht="29" x14ac:dyDescent="0.35">
      <c r="A21" s="7" t="s">
        <v>14</v>
      </c>
      <c r="B21" s="7"/>
      <c r="C21" s="7"/>
      <c r="D21" s="36" t="s">
        <v>43</v>
      </c>
      <c r="E21" s="36" t="s">
        <v>44</v>
      </c>
      <c r="G21" s="36" t="s">
        <v>73</v>
      </c>
      <c r="H21" s="36" t="s">
        <v>33</v>
      </c>
      <c r="I21" s="36" t="s">
        <v>83</v>
      </c>
      <c r="M21" s="31" t="s">
        <v>93</v>
      </c>
      <c r="N21" s="31" t="s">
        <v>92</v>
      </c>
    </row>
    <row r="22" spans="1:15" ht="29" x14ac:dyDescent="0.35">
      <c r="A22" s="22" t="s">
        <v>35</v>
      </c>
      <c r="B22" s="22" t="s">
        <v>50</v>
      </c>
      <c r="C22" s="22" t="s">
        <v>63</v>
      </c>
      <c r="D22" s="30" t="s">
        <v>20</v>
      </c>
      <c r="E22" s="30" t="s">
        <v>20</v>
      </c>
      <c r="F22" s="22" t="s">
        <v>13</v>
      </c>
      <c r="G22" s="30" t="s">
        <v>74</v>
      </c>
      <c r="H22" s="23" t="s">
        <v>0</v>
      </c>
      <c r="I22" s="42" t="s">
        <v>82</v>
      </c>
      <c r="J22" s="37"/>
      <c r="K22" s="34"/>
      <c r="L22" s="34"/>
      <c r="M22" s="24" t="s">
        <v>45</v>
      </c>
      <c r="N22" s="24" t="s">
        <v>46</v>
      </c>
    </row>
    <row r="23" spans="1:15" x14ac:dyDescent="0.35">
      <c r="A23" s="1" t="s">
        <v>34</v>
      </c>
      <c r="B23" s="1" t="s">
        <v>140</v>
      </c>
      <c r="C23" s="1" t="s">
        <v>64</v>
      </c>
      <c r="D23" s="1" t="s">
        <v>65</v>
      </c>
      <c r="E23" s="1">
        <v>0.1</v>
      </c>
      <c r="F23" s="21" t="s">
        <v>8</v>
      </c>
      <c r="G23" s="14" t="s">
        <v>72</v>
      </c>
      <c r="H23" s="25">
        <f>Diff_Amp_Calc!$C$76</f>
        <v>-0.9075907590759158</v>
      </c>
      <c r="I23" s="6">
        <f>E23*H23</f>
        <v>-9.075907590759158E-2</v>
      </c>
      <c r="J23" s="14"/>
      <c r="L23" s="2"/>
      <c r="M23" s="6">
        <f>ABS(I23)</f>
        <v>9.075907590759158E-2</v>
      </c>
      <c r="N23" s="17">
        <f>(I23)^2</f>
        <v>8.2372098595999699E-3</v>
      </c>
      <c r="O23" s="2" t="s">
        <v>8</v>
      </c>
    </row>
    <row r="24" spans="1:15" x14ac:dyDescent="0.35">
      <c r="A24" s="1" t="s">
        <v>34</v>
      </c>
      <c r="B24" s="1" t="s">
        <v>139</v>
      </c>
      <c r="C24" s="1" t="s">
        <v>64</v>
      </c>
      <c r="D24" s="1" t="s">
        <v>65</v>
      </c>
      <c r="E24" s="1">
        <v>0.1</v>
      </c>
      <c r="F24" s="21" t="s">
        <v>8</v>
      </c>
      <c r="G24" s="14" t="s">
        <v>72</v>
      </c>
      <c r="H24" s="25">
        <f>Diff_Amp_Calc!$C$80</f>
        <v>0.91666666666666785</v>
      </c>
      <c r="I24" s="6">
        <f>E24*H24</f>
        <v>9.1666666666666785E-2</v>
      </c>
      <c r="J24" s="14"/>
      <c r="L24" s="2"/>
      <c r="M24" s="6">
        <f>ABS(I24)</f>
        <v>9.1666666666666785E-2</v>
      </c>
      <c r="N24" s="17">
        <f>(I24)^2</f>
        <v>8.4027777777777989E-3</v>
      </c>
      <c r="O24" s="2" t="s">
        <v>8</v>
      </c>
    </row>
    <row r="25" spans="1:15" x14ac:dyDescent="0.35">
      <c r="A25" s="1" t="s">
        <v>34</v>
      </c>
      <c r="B25" s="1" t="s">
        <v>141</v>
      </c>
      <c r="C25" s="1" t="s">
        <v>64</v>
      </c>
      <c r="D25" s="1" t="s">
        <v>65</v>
      </c>
      <c r="E25" s="1">
        <v>0.1</v>
      </c>
      <c r="F25" s="21" t="s">
        <v>8</v>
      </c>
      <c r="G25" s="14" t="s">
        <v>72</v>
      </c>
      <c r="H25" s="25">
        <f>Diff_Amp_Calc!$C$84</f>
        <v>-8.3194675540774199E-2</v>
      </c>
      <c r="I25" s="6">
        <f>E25*H25</f>
        <v>-8.3194675540774199E-3</v>
      </c>
      <c r="J25" s="14"/>
      <c r="L25" s="2"/>
      <c r="M25" s="6">
        <f>ABS(I25)</f>
        <v>8.3194675540774199E-3</v>
      </c>
      <c r="N25" s="17">
        <f>(I25)^2</f>
        <v>6.9213540383346932E-5</v>
      </c>
      <c r="O25" s="2" t="s">
        <v>8</v>
      </c>
    </row>
    <row r="26" spans="1:15" x14ac:dyDescent="0.35">
      <c r="A26" s="1" t="s">
        <v>34</v>
      </c>
      <c r="B26" s="1" t="s">
        <v>142</v>
      </c>
      <c r="C26" s="1" t="s">
        <v>64</v>
      </c>
      <c r="D26" s="1" t="s">
        <v>65</v>
      </c>
      <c r="E26" s="1">
        <v>0.1</v>
      </c>
      <c r="F26" s="21" t="s">
        <v>8</v>
      </c>
      <c r="G26" s="14" t="s">
        <v>72</v>
      </c>
      <c r="H26" s="25">
        <f>Diff_Amp_Calc!$C$88</f>
        <v>8.2644628099171058E-2</v>
      </c>
      <c r="I26" s="6">
        <f>E26*H26</f>
        <v>8.2644628099171058E-3</v>
      </c>
      <c r="J26" s="14"/>
      <c r="L26" s="2"/>
      <c r="M26" s="6">
        <f>ABS(I26)</f>
        <v>8.2644628099171058E-3</v>
      </c>
      <c r="N26" s="17">
        <f>(I26)^2</f>
        <v>6.8301345536502943E-5</v>
      </c>
      <c r="O26" s="2" t="s">
        <v>8</v>
      </c>
    </row>
    <row r="27" spans="1:15" x14ac:dyDescent="0.35">
      <c r="B27" s="1" t="s">
        <v>25</v>
      </c>
    </row>
    <row r="28" spans="1:15" x14ac:dyDescent="0.35">
      <c r="G28" s="1"/>
      <c r="J28" s="1"/>
      <c r="M28" s="39" t="s">
        <v>59</v>
      </c>
      <c r="N28" s="33" t="s">
        <v>60</v>
      </c>
    </row>
    <row r="29" spans="1:15" x14ac:dyDescent="0.35">
      <c r="G29" s="1"/>
      <c r="J29" s="1"/>
      <c r="M29" s="6">
        <f>SUM(M23:M27)</f>
        <v>0.19900967293825289</v>
      </c>
      <c r="N29" s="6">
        <f>SQRT(SUM(N23:N27))</f>
        <v>0.1295279989936447</v>
      </c>
    </row>
    <row r="32" spans="1:15" ht="29" x14ac:dyDescent="0.35">
      <c r="A32" s="7" t="s">
        <v>53</v>
      </c>
      <c r="B32" s="7"/>
      <c r="C32" s="7"/>
      <c r="D32" s="36" t="s">
        <v>43</v>
      </c>
      <c r="E32" s="36" t="s">
        <v>44</v>
      </c>
      <c r="G32" s="36" t="s">
        <v>73</v>
      </c>
      <c r="H32" s="36" t="s">
        <v>33</v>
      </c>
      <c r="I32" s="36" t="s">
        <v>83</v>
      </c>
      <c r="M32" s="31"/>
      <c r="N32" s="31"/>
    </row>
    <row r="33" spans="1:15" ht="29" x14ac:dyDescent="0.35">
      <c r="A33" s="22" t="s">
        <v>35</v>
      </c>
      <c r="B33" s="22" t="s">
        <v>50</v>
      </c>
      <c r="C33" s="22" t="s">
        <v>63</v>
      </c>
      <c r="D33" s="22" t="s">
        <v>20</v>
      </c>
      <c r="E33" s="22" t="s">
        <v>20</v>
      </c>
      <c r="F33" s="22" t="s">
        <v>13</v>
      </c>
      <c r="G33" s="30" t="s">
        <v>74</v>
      </c>
      <c r="H33" s="23" t="s">
        <v>0</v>
      </c>
      <c r="I33" s="42" t="s">
        <v>81</v>
      </c>
      <c r="J33" s="34"/>
      <c r="K33" s="34"/>
      <c r="L33" s="34"/>
      <c r="M33" s="24" t="s">
        <v>45</v>
      </c>
      <c r="N33" s="24" t="s">
        <v>46</v>
      </c>
    </row>
    <row r="34" spans="1:15" x14ac:dyDescent="0.35">
      <c r="A34" s="1" t="s">
        <v>34</v>
      </c>
      <c r="B34" s="1" t="s">
        <v>143</v>
      </c>
      <c r="C34" s="1" t="s">
        <v>64</v>
      </c>
      <c r="D34" s="1" t="s">
        <v>66</v>
      </c>
      <c r="E34" s="1">
        <v>25</v>
      </c>
      <c r="F34" s="21" t="s">
        <v>15</v>
      </c>
      <c r="G34" s="14" t="s">
        <v>72</v>
      </c>
      <c r="H34" s="25">
        <f>Diff_Amp_Calc!$C$76</f>
        <v>-0.9075907590759158</v>
      </c>
      <c r="I34" s="6">
        <f>E34/1000000*$C$9*H34*100</f>
        <v>-6.8069306930693685E-2</v>
      </c>
      <c r="J34" s="14"/>
      <c r="M34" s="6">
        <f>ABS(I34)</f>
        <v>6.8069306930693685E-2</v>
      </c>
      <c r="N34" s="17">
        <f>I34^2</f>
        <v>4.6334305460249831E-3</v>
      </c>
      <c r="O34" s="2" t="s">
        <v>8</v>
      </c>
    </row>
    <row r="35" spans="1:15" x14ac:dyDescent="0.35">
      <c r="A35" s="1" t="s">
        <v>36</v>
      </c>
      <c r="B35" s="1" t="s">
        <v>144</v>
      </c>
      <c r="C35" s="1" t="s">
        <v>64</v>
      </c>
      <c r="D35" s="1" t="s">
        <v>66</v>
      </c>
      <c r="E35" s="1">
        <v>25</v>
      </c>
      <c r="F35" s="21" t="s">
        <v>15</v>
      </c>
      <c r="G35" s="14" t="s">
        <v>72</v>
      </c>
      <c r="H35" s="25">
        <f>Diff_Amp_Calc!$C$80</f>
        <v>0.91666666666666785</v>
      </c>
      <c r="I35" s="6">
        <f>E35/1000000*$C$9*H35*100</f>
        <v>6.8750000000000089E-2</v>
      </c>
      <c r="J35" s="14"/>
      <c r="L35" s="2"/>
      <c r="M35" s="6">
        <f>ABS(I35)</f>
        <v>6.8750000000000089E-2</v>
      </c>
      <c r="N35" s="17">
        <f>I35^2</f>
        <v>4.726562500000012E-3</v>
      </c>
      <c r="O35" s="2" t="s">
        <v>8</v>
      </c>
    </row>
    <row r="36" spans="1:15" x14ac:dyDescent="0.35">
      <c r="A36" s="1" t="s">
        <v>34</v>
      </c>
      <c r="B36" s="1" t="s">
        <v>145</v>
      </c>
      <c r="C36" s="1" t="s">
        <v>64</v>
      </c>
      <c r="D36" s="1" t="s">
        <v>66</v>
      </c>
      <c r="E36" s="1">
        <v>25</v>
      </c>
      <c r="F36" s="21" t="s">
        <v>15</v>
      </c>
      <c r="G36" s="14" t="s">
        <v>72</v>
      </c>
      <c r="H36" s="25">
        <f>Diff_Amp_Calc!$C$84</f>
        <v>-8.3194675540774199E-2</v>
      </c>
      <c r="I36" s="6">
        <f>E36/1000000*$C$9*H36*100</f>
        <v>-6.2396006655580649E-3</v>
      </c>
      <c r="J36" s="14"/>
      <c r="M36" s="6">
        <f>ABS(I36)</f>
        <v>6.2396006655580649E-3</v>
      </c>
      <c r="N36" s="17">
        <f>I36^2</f>
        <v>3.8932616465632643E-5</v>
      </c>
      <c r="O36" s="2" t="s">
        <v>8</v>
      </c>
    </row>
    <row r="37" spans="1:15" x14ac:dyDescent="0.35">
      <c r="A37" s="1" t="s">
        <v>36</v>
      </c>
      <c r="B37" s="1" t="s">
        <v>146</v>
      </c>
      <c r="C37" s="1" t="s">
        <v>64</v>
      </c>
      <c r="D37" s="1" t="s">
        <v>66</v>
      </c>
      <c r="E37" s="1">
        <v>25</v>
      </c>
      <c r="F37" s="21" t="s">
        <v>15</v>
      </c>
      <c r="G37" s="14" t="s">
        <v>72</v>
      </c>
      <c r="H37" s="25">
        <f>Diff_Amp_Calc!$C$88</f>
        <v>8.2644628099171058E-2</v>
      </c>
      <c r="I37" s="6">
        <f>E37/1000000*$C$9*H37*100</f>
        <v>6.1983471074378294E-3</v>
      </c>
      <c r="J37" s="14"/>
      <c r="L37" s="2"/>
      <c r="M37" s="6">
        <f>ABS(I37)</f>
        <v>6.1983471074378294E-3</v>
      </c>
      <c r="N37" s="17">
        <f>I37^2</f>
        <v>3.8419506864282905E-5</v>
      </c>
      <c r="O37" s="2" t="s">
        <v>8</v>
      </c>
    </row>
    <row r="38" spans="1:15" x14ac:dyDescent="0.35">
      <c r="B38" s="1" t="s">
        <v>25</v>
      </c>
    </row>
    <row r="39" spans="1:15" x14ac:dyDescent="0.35">
      <c r="G39" s="1"/>
      <c r="H39" s="1"/>
      <c r="I39" s="1"/>
      <c r="M39" s="39" t="s">
        <v>59</v>
      </c>
      <c r="N39" s="33" t="s">
        <v>60</v>
      </c>
    </row>
    <row r="40" spans="1:15" x14ac:dyDescent="0.35">
      <c r="G40" s="1"/>
      <c r="H40" s="1"/>
      <c r="I40" s="1"/>
      <c r="M40" s="6">
        <f>SUM(M34:M38)</f>
        <v>0.14925725470368967</v>
      </c>
      <c r="N40" s="6">
        <f>SQRT(SUM(N34:N38))</f>
        <v>9.7145999245233511E-2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Diff_Amp_Calc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2025-06-04T23:31:38Z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